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cjets-my.sharepoint.com/personal/wgranquist_ncajets_org/Documents/wendy/"/>
    </mc:Choice>
  </mc:AlternateContent>
  <xr:revisionPtr revIDLastSave="0" documentId="8_{5E72C69A-C2F2-484B-9D06-431C70CBC3B3}" xr6:coauthVersionLast="36" xr6:coauthVersionMax="36" xr10:uidLastSave="{00000000-0000-0000-0000-000000000000}"/>
  <bookViews>
    <workbookView xWindow="0" yWindow="0" windowWidth="28800" windowHeight="12225" activeTab="3" xr2:uid="{00000000-000D-0000-FFFF-FFFF00000000}"/>
  </bookViews>
  <sheets>
    <sheet name="Resolution-Transparency 23-24" sheetId="50" r:id="rId1"/>
    <sheet name="General Revenue" sheetId="1" r:id="rId2"/>
    <sheet name="General Expenses" sheetId="2" r:id="rId3"/>
    <sheet name="Food Service" sheetId="60" r:id="rId4"/>
    <sheet name="State Aid Projections" sheetId="18" r:id="rId5"/>
    <sheet name="UAAL" sheetId="30" r:id="rId6"/>
    <sheet name="STAFF Sal Bkdwn (2023-24)" sheetId="56" r:id="rId7"/>
    <sheet name="STAFF Sal Bkdwn (2022-23)" sheetId="52" r:id="rId8"/>
    <sheet name="SUPPORT Sal Bkdwn (2023-24)" sheetId="57" r:id="rId9"/>
    <sheet name="SUPPORT Sal Bkdwn 2022-23" sheetId="53" r:id="rId10"/>
    <sheet name="Staff MESSA-CAP 23-24" sheetId="58" r:id="rId11"/>
    <sheet name="Staff MESSA-CAP ($200-400)18-19" sheetId="55" r:id="rId12"/>
    <sheet name="Support MESSA-CAP 23-24" sheetId="59" r:id="rId13"/>
    <sheet name="Support MESSA 18-19 CAP" sheetId="54" r:id="rId14"/>
    <sheet name="Salary per Contract" sheetId="8" r:id="rId15"/>
  </sheets>
  <externalReferences>
    <externalReference r:id="rId16"/>
  </externalReferences>
  <definedNames>
    <definedName name="A" localSheetId="11">#REF!</definedName>
    <definedName name="A" localSheetId="10">#REF!</definedName>
    <definedName name="A" localSheetId="6">#REF!</definedName>
    <definedName name="A" localSheetId="12">#REF!</definedName>
    <definedName name="A" localSheetId="8">#REF!</definedName>
    <definedName name="A">#REF!</definedName>
    <definedName name="B" localSheetId="11">#REF!</definedName>
    <definedName name="B" localSheetId="10">#REF!</definedName>
    <definedName name="B" localSheetId="6">#REF!</definedName>
    <definedName name="B" localSheetId="12">#REF!</definedName>
    <definedName name="B" localSheetId="8">#REF!</definedName>
    <definedName name="B">#REF!</definedName>
    <definedName name="_xlnm.Print_Area" localSheetId="3">'Food Service'!$A$1:$P$91</definedName>
    <definedName name="_xlnm.Print_Area" localSheetId="2">'General Expenses'!$A$1:$I$539</definedName>
    <definedName name="_xlnm.Print_Area" localSheetId="1">'General Revenue'!$A:$H</definedName>
    <definedName name="_xlnm.Print_Area" localSheetId="11">'Staff MESSA-CAP ($200-400)18-19'!$A$1:$R$40</definedName>
    <definedName name="_xlnm.Print_Area" localSheetId="10">'Staff MESSA-CAP 23-24'!$A$1:$R$39</definedName>
    <definedName name="_xlnm.Print_Area" localSheetId="7">'STAFF Sal Bkdwn (2022-23)'!$A$1:$P$39</definedName>
    <definedName name="_xlnm.Print_Area" localSheetId="6">'STAFF Sal Bkdwn (2023-24)'!$A$1:$O$37</definedName>
    <definedName name="_xlnm.Print_Area" localSheetId="13">'Support MESSA 18-19 CAP'!$A$1:$AE$35</definedName>
    <definedName name="_xlnm.Print_Area" localSheetId="12">'Support MESSA-CAP 23-24'!$A$1:$AD$35</definedName>
    <definedName name="_xlnm.Print_Area" localSheetId="8">'SUPPORT Sal Bkdwn (2023-24)'!$A$1:$T$40</definedName>
    <definedName name="_xlnm.Print_Area" localSheetId="9">'SUPPORT Sal Bkdwn 2022-23'!$A$1:$T$43</definedName>
    <definedName name="_xlnm.Print_Titles" localSheetId="3">'Food Service'!$1:$7</definedName>
    <definedName name="_xlnm.Print_Titles" localSheetId="2">'General Expenses'!$1:$4</definedName>
    <definedName name="_xlnm.Print_Titles" localSheetId="1">'General Revenue'!$1:$7</definedName>
  </definedNames>
  <calcPr calcId="191029"/>
</workbook>
</file>

<file path=xl/calcChain.xml><?xml version="1.0" encoding="utf-8"?>
<calcChain xmlns="http://schemas.openxmlformats.org/spreadsheetml/2006/main">
  <c r="O9" i="60" l="1"/>
  <c r="P9" i="60"/>
  <c r="O10" i="60"/>
  <c r="P10" i="60"/>
  <c r="O11" i="60"/>
  <c r="P11" i="60"/>
  <c r="O12" i="60"/>
  <c r="P12" i="60"/>
  <c r="O13" i="60"/>
  <c r="P13" i="60"/>
  <c r="O14" i="60"/>
  <c r="P14" i="60"/>
  <c r="O15" i="60"/>
  <c r="P15" i="60"/>
  <c r="O16" i="60"/>
  <c r="P16" i="60"/>
  <c r="O17" i="60"/>
  <c r="P17" i="60"/>
  <c r="O18" i="60"/>
  <c r="P18" i="60"/>
  <c r="O20" i="60"/>
  <c r="P20" i="60"/>
  <c r="O22" i="60"/>
  <c r="P22" i="60"/>
  <c r="O23" i="60"/>
  <c r="O75" i="60" s="1"/>
  <c r="P75" i="60" s="1"/>
  <c r="P23" i="60"/>
  <c r="P24" i="60"/>
  <c r="O25" i="60"/>
  <c r="P25" i="60" s="1"/>
  <c r="E30" i="60"/>
  <c r="E31" i="60" s="1"/>
  <c r="F30" i="60"/>
  <c r="G30" i="60"/>
  <c r="H30" i="60"/>
  <c r="I30" i="60"/>
  <c r="I85" i="60" s="1"/>
  <c r="I88" i="60" s="1"/>
  <c r="J30" i="60"/>
  <c r="K30" i="60"/>
  <c r="L30" i="60"/>
  <c r="M30" i="60"/>
  <c r="O30" i="60"/>
  <c r="P30" i="60"/>
  <c r="O41" i="60"/>
  <c r="O60" i="60" s="1"/>
  <c r="P41" i="60"/>
  <c r="P60" i="60" s="1"/>
  <c r="O42" i="60"/>
  <c r="P42" i="60"/>
  <c r="P43" i="60"/>
  <c r="P44" i="60"/>
  <c r="O45" i="60"/>
  <c r="P45" i="60"/>
  <c r="O46" i="60"/>
  <c r="P46" i="60"/>
  <c r="O47" i="60"/>
  <c r="P47" i="60" s="1"/>
  <c r="P49" i="60"/>
  <c r="P51" i="60"/>
  <c r="P52" i="60"/>
  <c r="O53" i="60"/>
  <c r="P53" i="60"/>
  <c r="P54" i="60"/>
  <c r="P55" i="60"/>
  <c r="P57" i="60"/>
  <c r="E60" i="60"/>
  <c r="F60" i="60"/>
  <c r="G60" i="60"/>
  <c r="H60" i="60"/>
  <c r="I60" i="60"/>
  <c r="J60" i="60"/>
  <c r="K60" i="60"/>
  <c r="L60" i="60"/>
  <c r="M60" i="60"/>
  <c r="O64" i="60"/>
  <c r="O70" i="60" s="1"/>
  <c r="P70" i="60" s="1"/>
  <c r="P64" i="60"/>
  <c r="O65" i="60"/>
  <c r="P65" i="60"/>
  <c r="P66" i="60"/>
  <c r="P67" i="60"/>
  <c r="O68" i="60"/>
  <c r="P68" i="60"/>
  <c r="O69" i="60"/>
  <c r="P69" i="60"/>
  <c r="P71" i="60"/>
  <c r="P72" i="60"/>
  <c r="P73" i="60"/>
  <c r="P74" i="60"/>
  <c r="P76" i="60"/>
  <c r="P77" i="60"/>
  <c r="P78" i="60"/>
  <c r="E80" i="60"/>
  <c r="E82" i="60" s="1"/>
  <c r="F80" i="60"/>
  <c r="G80" i="60"/>
  <c r="G82" i="60" s="1"/>
  <c r="G85" i="60" s="1"/>
  <c r="G88" i="60" s="1"/>
  <c r="H80" i="60"/>
  <c r="H82" i="60" s="1"/>
  <c r="H85" i="60" s="1"/>
  <c r="I80" i="60"/>
  <c r="I82" i="60" s="1"/>
  <c r="J80" i="60"/>
  <c r="J82" i="60" s="1"/>
  <c r="J85" i="60" s="1"/>
  <c r="J88" i="60" s="1"/>
  <c r="K80" i="60"/>
  <c r="K82" i="60" s="1"/>
  <c r="K85" i="60" s="1"/>
  <c r="K88" i="60" s="1"/>
  <c r="L80" i="60"/>
  <c r="M80" i="60"/>
  <c r="M82" i="60" s="1"/>
  <c r="P80" i="60"/>
  <c r="P82" i="60" s="1"/>
  <c r="F82" i="60"/>
  <c r="F85" i="60" s="1"/>
  <c r="L82" i="60"/>
  <c r="L85" i="60" s="1"/>
  <c r="L88" i="60" s="1"/>
  <c r="O89" i="60"/>
  <c r="E17" i="1"/>
  <c r="H179" i="2"/>
  <c r="H172" i="2"/>
  <c r="H286" i="2"/>
  <c r="H268" i="2"/>
  <c r="E129" i="2"/>
  <c r="F129" i="2"/>
  <c r="G129" i="2"/>
  <c r="H129" i="2"/>
  <c r="G55" i="1"/>
  <c r="H55" i="1"/>
  <c r="H73" i="1"/>
  <c r="E84" i="1"/>
  <c r="F84" i="1"/>
  <c r="G84" i="1"/>
  <c r="H84" i="1"/>
  <c r="H18" i="50" s="1"/>
  <c r="E73" i="1"/>
  <c r="E17" i="50" s="1"/>
  <c r="F73" i="1"/>
  <c r="G73" i="1"/>
  <c r="F37" i="1"/>
  <c r="G37" i="1"/>
  <c r="H37" i="1"/>
  <c r="E94" i="1"/>
  <c r="F94" i="1"/>
  <c r="G94" i="1"/>
  <c r="H94" i="1"/>
  <c r="F55" i="1"/>
  <c r="E55" i="1"/>
  <c r="H44" i="2"/>
  <c r="H67" i="2"/>
  <c r="H84" i="2"/>
  <c r="H103" i="2"/>
  <c r="H111" i="2"/>
  <c r="H120" i="2"/>
  <c r="H146" i="2"/>
  <c r="H184" i="2"/>
  <c r="H201" i="2"/>
  <c r="H27" i="50" s="1"/>
  <c r="H217" i="2"/>
  <c r="H227" i="2"/>
  <c r="H298" i="2"/>
  <c r="H309" i="2"/>
  <c r="H318" i="2"/>
  <c r="H324" i="2"/>
  <c r="H331" i="2"/>
  <c r="H336" i="2"/>
  <c r="H36" i="50" s="1"/>
  <c r="H347" i="2"/>
  <c r="H356" i="2"/>
  <c r="H30" i="50" s="1"/>
  <c r="H384" i="2"/>
  <c r="H31" i="50" s="1"/>
  <c r="H402" i="2"/>
  <c r="H424" i="2"/>
  <c r="H429" i="2"/>
  <c r="H33" i="50" s="1"/>
  <c r="H463" i="2"/>
  <c r="H468" i="2"/>
  <c r="H500" i="2"/>
  <c r="H35" i="50" s="1"/>
  <c r="H503" i="2"/>
  <c r="H38" i="50" s="1"/>
  <c r="H520" i="2"/>
  <c r="H37" i="50" s="1"/>
  <c r="H525" i="2"/>
  <c r="H39" i="50" s="1"/>
  <c r="H14" i="1"/>
  <c r="H17" i="1"/>
  <c r="H22" i="1"/>
  <c r="O80" i="60" l="1"/>
  <c r="O82" i="60" s="1"/>
  <c r="O85" i="60" s="1"/>
  <c r="O91" i="60" s="1"/>
  <c r="H26" i="50"/>
  <c r="H533" i="2"/>
  <c r="H32" i="50"/>
  <c r="H34" i="50"/>
  <c r="H29" i="50"/>
  <c r="H96" i="1"/>
  <c r="H19" i="50"/>
  <c r="H17" i="50"/>
  <c r="H16" i="50"/>
  <c r="G336" i="2"/>
  <c r="G36" i="50" s="1"/>
  <c r="G217" i="2"/>
  <c r="G146" i="2"/>
  <c r="G44" i="2"/>
  <c r="G67" i="2"/>
  <c r="G84" i="2"/>
  <c r="G103" i="2"/>
  <c r="G111" i="2"/>
  <c r="G120" i="2"/>
  <c r="G27" i="50" s="1"/>
  <c r="G159" i="2"/>
  <c r="G172" i="2" s="1"/>
  <c r="G179" i="2"/>
  <c r="G184" i="2"/>
  <c r="G201" i="2"/>
  <c r="G227" i="2"/>
  <c r="G268" i="2"/>
  <c r="G286" i="2"/>
  <c r="G298" i="2"/>
  <c r="G309" i="2"/>
  <c r="G318" i="2"/>
  <c r="G324" i="2"/>
  <c r="G331" i="2"/>
  <c r="G347" i="2"/>
  <c r="G356" i="2"/>
  <c r="G30" i="50" s="1"/>
  <c r="G384" i="2"/>
  <c r="G31" i="50" s="1"/>
  <c r="G402" i="2"/>
  <c r="G424" i="2"/>
  <c r="G429" i="2"/>
  <c r="G33" i="50" s="1"/>
  <c r="G463" i="2"/>
  <c r="G468" i="2"/>
  <c r="G500" i="2"/>
  <c r="G35" i="50" s="1"/>
  <c r="G503" i="2"/>
  <c r="G38" i="50" s="1"/>
  <c r="G520" i="2"/>
  <c r="G37" i="50" s="1"/>
  <c r="G525" i="2"/>
  <c r="G39" i="50" s="1"/>
  <c r="G14" i="1"/>
  <c r="G17" i="1"/>
  <c r="G22" i="1"/>
  <c r="G18" i="50"/>
  <c r="G19" i="50"/>
  <c r="G26" i="50" l="1"/>
  <c r="H40" i="50"/>
  <c r="G533" i="2"/>
  <c r="H20" i="50"/>
  <c r="H535" i="2"/>
  <c r="H538" i="2" s="1"/>
  <c r="H539" i="2" s="1"/>
  <c r="G34" i="50"/>
  <c r="G17" i="50"/>
  <c r="G32" i="50"/>
  <c r="G29" i="50"/>
  <c r="G96" i="1"/>
  <c r="G16" i="50"/>
  <c r="T21" i="59"/>
  <c r="Z29" i="59"/>
  <c r="Z28" i="59"/>
  <c r="T28" i="59" s="1"/>
  <c r="H42" i="50" l="1"/>
  <c r="H47" i="50"/>
  <c r="H48" i="50" s="1"/>
  <c r="G20" i="50"/>
  <c r="G40" i="50"/>
  <c r="G535" i="2"/>
  <c r="G538" i="2" s="1"/>
  <c r="T29" i="59"/>
  <c r="I29" i="59" s="1"/>
  <c r="I28" i="59"/>
  <c r="T26" i="59"/>
  <c r="Z27" i="59"/>
  <c r="T27" i="59" s="1"/>
  <c r="T23" i="59"/>
  <c r="E23" i="59" s="1"/>
  <c r="T22" i="59"/>
  <c r="P22" i="59" s="1"/>
  <c r="P21" i="59"/>
  <c r="T18" i="59"/>
  <c r="F18" i="59" s="1"/>
  <c r="T17" i="59"/>
  <c r="D17" i="59" s="1"/>
  <c r="P16" i="59"/>
  <c r="T16" i="59"/>
  <c r="T11" i="59"/>
  <c r="F11" i="59" s="1"/>
  <c r="T10" i="59"/>
  <c r="J10" i="59" s="1"/>
  <c r="R9" i="59"/>
  <c r="AA21" i="59"/>
  <c r="AA20" i="59"/>
  <c r="AA19" i="59"/>
  <c r="AC16" i="59"/>
  <c r="T7" i="59" s="1"/>
  <c r="AC15" i="59"/>
  <c r="T12" i="59" s="1"/>
  <c r="L12" i="59" s="1"/>
  <c r="AC14" i="59"/>
  <c r="AC11" i="59"/>
  <c r="T15" i="59" s="1"/>
  <c r="AB11" i="59"/>
  <c r="AC10" i="59"/>
  <c r="T9" i="59" s="1"/>
  <c r="AB10" i="59"/>
  <c r="AC9" i="59"/>
  <c r="T8" i="59" s="1"/>
  <c r="G42" i="50" l="1"/>
  <c r="G47" i="50"/>
  <c r="C15" i="59"/>
  <c r="S15" i="59"/>
  <c r="G15" i="59"/>
  <c r="S8" i="59"/>
  <c r="N8" i="59"/>
  <c r="I27" i="59"/>
  <c r="K27" i="59"/>
  <c r="C11" i="59"/>
  <c r="C18" i="59"/>
  <c r="D7" i="59"/>
  <c r="D25" i="59" s="1"/>
  <c r="D34" i="59" s="1"/>
  <c r="T19" i="59"/>
  <c r="T13" i="59"/>
  <c r="N13" i="59" s="1"/>
  <c r="T14" i="59"/>
  <c r="N14" i="59" s="1"/>
  <c r="T20" i="59"/>
  <c r="V31" i="59"/>
  <c r="U31" i="59"/>
  <c r="S31" i="59"/>
  <c r="R31" i="59"/>
  <c r="P31" i="59"/>
  <c r="N31" i="59"/>
  <c r="L31" i="59"/>
  <c r="J31" i="59"/>
  <c r="H31" i="59"/>
  <c r="G31" i="59"/>
  <c r="F31" i="59"/>
  <c r="E31" i="59"/>
  <c r="D31" i="59"/>
  <c r="C31" i="59"/>
  <c r="T30" i="59"/>
  <c r="U25" i="59"/>
  <c r="Q25" i="59"/>
  <c r="O25" i="59"/>
  <c r="M25" i="59"/>
  <c r="K25" i="59"/>
  <c r="I25" i="59"/>
  <c r="W22" i="59"/>
  <c r="V20" i="59"/>
  <c r="W21" i="59"/>
  <c r="W11" i="59"/>
  <c r="V11" i="59"/>
  <c r="W15" i="59"/>
  <c r="Y9" i="59"/>
  <c r="G20" i="59" l="1"/>
  <c r="C20" i="59"/>
  <c r="S20" i="59"/>
  <c r="Q30" i="59"/>
  <c r="O30" i="59"/>
  <c r="S19" i="59"/>
  <c r="H19" i="59"/>
  <c r="C19" i="59"/>
  <c r="W30" i="59"/>
  <c r="X30" i="59" s="1"/>
  <c r="Y10" i="59"/>
  <c r="W8" i="59"/>
  <c r="V25" i="59"/>
  <c r="V34" i="59" s="1"/>
  <c r="W13" i="59"/>
  <c r="X13" i="59" s="1"/>
  <c r="U34" i="59"/>
  <c r="W10" i="59"/>
  <c r="Y18" i="59"/>
  <c r="W19" i="59"/>
  <c r="Y11" i="59"/>
  <c r="Y15" i="59"/>
  <c r="X15" i="59"/>
  <c r="I31" i="59"/>
  <c r="I34" i="59" s="1"/>
  <c r="Y30" i="59"/>
  <c r="X21" i="59"/>
  <c r="Y21" i="59"/>
  <c r="W7" i="59"/>
  <c r="W25" i="59" s="1"/>
  <c r="W16" i="59"/>
  <c r="Y23" i="59"/>
  <c r="W27" i="59"/>
  <c r="W18" i="59"/>
  <c r="W28" i="59"/>
  <c r="W17" i="59"/>
  <c r="W20" i="59"/>
  <c r="W24" i="59"/>
  <c r="W14" i="59"/>
  <c r="W29" i="59"/>
  <c r="X11" i="59" l="1"/>
  <c r="X18" i="59"/>
  <c r="X20" i="59"/>
  <c r="H25" i="59"/>
  <c r="H34" i="59" s="1"/>
  <c r="X10" i="59"/>
  <c r="X16" i="59"/>
  <c r="Y16" i="59"/>
  <c r="Y13" i="59"/>
  <c r="Q31" i="59"/>
  <c r="Q34" i="59" s="1"/>
  <c r="X29" i="59"/>
  <c r="O31" i="59"/>
  <c r="O34" i="59" s="1"/>
  <c r="X17" i="59"/>
  <c r="Y17" i="59"/>
  <c r="X28" i="59"/>
  <c r="K31" i="59"/>
  <c r="K34" i="59" s="1"/>
  <c r="E25" i="59"/>
  <c r="E34" i="59" s="1"/>
  <c r="X22" i="59"/>
  <c r="F25" i="59"/>
  <c r="F34" i="59" s="1"/>
  <c r="W31" i="59"/>
  <c r="W34" i="59"/>
  <c r="X7" i="59"/>
  <c r="X25" i="59" s="1"/>
  <c r="J25" i="59"/>
  <c r="J34" i="59" s="1"/>
  <c r="Y20" i="59"/>
  <c r="S25" i="59"/>
  <c r="S34" i="59" s="1"/>
  <c r="X8" i="59"/>
  <c r="X24" i="59"/>
  <c r="Y24" i="59"/>
  <c r="T31" i="59"/>
  <c r="X27" i="59"/>
  <c r="M31" i="59"/>
  <c r="M34" i="59" s="1"/>
  <c r="X19" i="59"/>
  <c r="L25" i="59"/>
  <c r="L34" i="59" s="1"/>
  <c r="X14" i="59"/>
  <c r="P25" i="59"/>
  <c r="P34" i="59" s="1"/>
  <c r="T25" i="59"/>
  <c r="X31" i="59" l="1"/>
  <c r="X34" i="59" s="1"/>
  <c r="Y7" i="59"/>
  <c r="G25" i="59"/>
  <c r="G34" i="59" s="1"/>
  <c r="R25" i="59"/>
  <c r="R34" i="59" s="1"/>
  <c r="Y14" i="59"/>
  <c r="Y27" i="59"/>
  <c r="Y22" i="59"/>
  <c r="Y12" i="59"/>
  <c r="C25" i="59"/>
  <c r="C34" i="59" s="1"/>
  <c r="T34" i="59"/>
  <c r="Y8" i="59"/>
  <c r="Y19" i="59"/>
  <c r="N25" i="59"/>
  <c r="N34" i="59" s="1"/>
  <c r="Y28" i="59"/>
  <c r="Y29" i="59"/>
  <c r="R13" i="58" l="1"/>
  <c r="R12" i="58"/>
  <c r="R11" i="58"/>
  <c r="R18" i="58" l="1"/>
  <c r="R17" i="58"/>
  <c r="N22" i="58" s="1"/>
  <c r="R16" i="58"/>
  <c r="A8" i="58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6" i="58" s="1"/>
  <c r="A25" i="58" s="1"/>
  <c r="A27" i="58" s="1"/>
  <c r="A28" i="58" s="1"/>
  <c r="A29" i="58" s="1"/>
  <c r="F22" i="58" l="1"/>
  <c r="J22" i="58"/>
  <c r="N7" i="58"/>
  <c r="K7" i="58" s="1"/>
  <c r="N27" i="58"/>
  <c r="E27" i="58" s="1"/>
  <c r="N10" i="58"/>
  <c r="G10" i="58" s="1"/>
  <c r="N13" i="58"/>
  <c r="N11" i="58"/>
  <c r="H11" i="58" s="1"/>
  <c r="N14" i="58"/>
  <c r="G14" i="58" s="1"/>
  <c r="N26" i="58"/>
  <c r="G26" i="58" s="1"/>
  <c r="N24" i="58"/>
  <c r="F24" i="58" s="1"/>
  <c r="E28" i="58"/>
  <c r="N29" i="58"/>
  <c r="L29" i="58" s="1"/>
  <c r="N20" i="58"/>
  <c r="G20" i="58" s="1"/>
  <c r="N21" i="58"/>
  <c r="E21" i="58" s="1"/>
  <c r="N25" i="58"/>
  <c r="N23" i="58"/>
  <c r="I23" i="58" s="1"/>
  <c r="N15" i="58"/>
  <c r="N28" i="58"/>
  <c r="Q21" i="58"/>
  <c r="N12" i="58"/>
  <c r="N16" i="58"/>
  <c r="E16" i="58" s="1"/>
  <c r="N18" i="58"/>
  <c r="N19" i="58"/>
  <c r="Q22" i="58"/>
  <c r="Q23" i="58"/>
  <c r="I32" i="57"/>
  <c r="R31" i="57"/>
  <c r="S31" i="57" s="1"/>
  <c r="P30" i="57"/>
  <c r="Q29" i="57"/>
  <c r="P29" i="57"/>
  <c r="S28" i="57"/>
  <c r="R28" i="57"/>
  <c r="C27" i="57"/>
  <c r="M27" i="57"/>
  <c r="E27" i="57"/>
  <c r="F26" i="57"/>
  <c r="C26" i="57"/>
  <c r="M25" i="57"/>
  <c r="H25" i="57"/>
  <c r="C25" i="57"/>
  <c r="F24" i="57"/>
  <c r="C24" i="57"/>
  <c r="Q23" i="57"/>
  <c r="N23" i="57"/>
  <c r="D22" i="57"/>
  <c r="S22" i="57" s="1"/>
  <c r="S21" i="57"/>
  <c r="R21" i="57"/>
  <c r="M20" i="57"/>
  <c r="E20" i="57"/>
  <c r="C20" i="57"/>
  <c r="Q19" i="57"/>
  <c r="Q18" i="57"/>
  <c r="Q17" i="57"/>
  <c r="L15" i="57"/>
  <c r="K15" i="57"/>
  <c r="F14" i="57"/>
  <c r="C14" i="57"/>
  <c r="J12" i="57"/>
  <c r="N11" i="57"/>
  <c r="N10" i="57"/>
  <c r="P9" i="57"/>
  <c r="P8" i="57"/>
  <c r="D7" i="57"/>
  <c r="G13" i="58" l="1"/>
  <c r="F13" i="58"/>
  <c r="J25" i="58"/>
  <c r="F25" i="58"/>
  <c r="G18" i="58"/>
  <c r="E18" i="58"/>
  <c r="F18" i="58"/>
  <c r="I15" i="58"/>
  <c r="J15" i="58"/>
  <c r="O29" i="58"/>
  <c r="O26" i="58"/>
  <c r="O16" i="58"/>
  <c r="O14" i="58"/>
  <c r="O10" i="58"/>
  <c r="E12" i="58"/>
  <c r="O12" i="58" s="1"/>
  <c r="O21" i="58"/>
  <c r="K32" i="58"/>
  <c r="O28" i="58"/>
  <c r="O24" i="58"/>
  <c r="E19" i="58"/>
  <c r="O19" i="58" s="1"/>
  <c r="N32" i="58"/>
  <c r="L32" i="58"/>
  <c r="O18" i="58"/>
  <c r="O20" i="58"/>
  <c r="O11" i="58"/>
  <c r="M32" i="58"/>
  <c r="O17" i="58"/>
  <c r="O13" i="58"/>
  <c r="O15" i="58"/>
  <c r="H32" i="58"/>
  <c r="O25" i="58"/>
  <c r="O33" i="57"/>
  <c r="O35" i="57" s="1"/>
  <c r="I33" i="57"/>
  <c r="I35" i="57" s="1"/>
  <c r="S32" i="57"/>
  <c r="T32" i="57" s="1"/>
  <c r="S30" i="57"/>
  <c r="T30" i="57" s="1"/>
  <c r="S29" i="57"/>
  <c r="H33" i="57"/>
  <c r="E33" i="57"/>
  <c r="S20" i="57"/>
  <c r="T20" i="57" s="1"/>
  <c r="S18" i="57"/>
  <c r="T18" i="57" s="1"/>
  <c r="S17" i="57"/>
  <c r="T17" i="57" s="1"/>
  <c r="L16" i="57"/>
  <c r="K16" i="57"/>
  <c r="T16" i="57" s="1"/>
  <c r="L33" i="57"/>
  <c r="L35" i="57" s="1"/>
  <c r="K33" i="57"/>
  <c r="S14" i="57"/>
  <c r="J13" i="57"/>
  <c r="T13" i="57" s="1"/>
  <c r="S10" i="57"/>
  <c r="T10" i="57" s="1"/>
  <c r="D18" i="56"/>
  <c r="G12" i="56"/>
  <c r="L31" i="56"/>
  <c r="K31" i="56"/>
  <c r="D30" i="56"/>
  <c r="D28" i="56"/>
  <c r="D19" i="56"/>
  <c r="H29" i="56"/>
  <c r="F27" i="56"/>
  <c r="I26" i="56"/>
  <c r="E26" i="56"/>
  <c r="H24" i="56"/>
  <c r="F15" i="56"/>
  <c r="I23" i="56"/>
  <c r="E23" i="56"/>
  <c r="F22" i="56"/>
  <c r="D20" i="56"/>
  <c r="F18" i="56"/>
  <c r="E18" i="56"/>
  <c r="I16" i="56"/>
  <c r="H16" i="56"/>
  <c r="H32" i="56" s="1"/>
  <c r="F14" i="56"/>
  <c r="E14" i="56"/>
  <c r="O23" i="58" l="1"/>
  <c r="O27" i="58"/>
  <c r="O22" i="58"/>
  <c r="O8" i="58"/>
  <c r="G32" i="58"/>
  <c r="O7" i="58"/>
  <c r="I32" i="58"/>
  <c r="J32" i="58"/>
  <c r="O9" i="58"/>
  <c r="F32" i="58"/>
  <c r="E32" i="58"/>
  <c r="J33" i="57"/>
  <c r="J35" i="57" s="1"/>
  <c r="H35" i="57"/>
  <c r="H37" i="57"/>
  <c r="Q33" i="57"/>
  <c r="Q35" i="57" s="1"/>
  <c r="S27" i="57"/>
  <c r="T27" i="57" s="1"/>
  <c r="S23" i="57"/>
  <c r="T23" i="57" s="1"/>
  <c r="S25" i="57"/>
  <c r="T25" i="57" s="1"/>
  <c r="F33" i="57"/>
  <c r="F35" i="57" s="1"/>
  <c r="D33" i="57"/>
  <c r="D35" i="57" s="1"/>
  <c r="P33" i="57"/>
  <c r="P35" i="57" s="1"/>
  <c r="M33" i="57"/>
  <c r="M37" i="57" s="1"/>
  <c r="R33" i="57"/>
  <c r="R35" i="57" s="1"/>
  <c r="E35" i="57"/>
  <c r="E37" i="57"/>
  <c r="K35" i="57"/>
  <c r="K37" i="57"/>
  <c r="S24" i="57"/>
  <c r="T24" i="57" s="1"/>
  <c r="G33" i="57"/>
  <c r="I37" i="57"/>
  <c r="O37" i="57"/>
  <c r="N33" i="57"/>
  <c r="S7" i="57"/>
  <c r="C33" i="57"/>
  <c r="S12" i="57"/>
  <c r="T12" i="57" s="1"/>
  <c r="S8" i="57"/>
  <c r="T8" i="57" s="1"/>
  <c r="L37" i="57"/>
  <c r="S15" i="57"/>
  <c r="T15" i="57" s="1"/>
  <c r="J37" i="57" l="1"/>
  <c r="R37" i="57"/>
  <c r="D37" i="57"/>
  <c r="Q37" i="57"/>
  <c r="M35" i="57"/>
  <c r="F37" i="57"/>
  <c r="P37" i="57"/>
  <c r="G37" i="57"/>
  <c r="G35" i="57"/>
  <c r="C35" i="57"/>
  <c r="C37" i="57"/>
  <c r="S33" i="57"/>
  <c r="N37" i="57"/>
  <c r="N35" i="57"/>
  <c r="S37" i="57" l="1"/>
  <c r="S35" i="57"/>
  <c r="S41" i="57" l="1"/>
  <c r="D13" i="56"/>
  <c r="F10" i="56"/>
  <c r="E10" i="56"/>
  <c r="F9" i="56"/>
  <c r="E9" i="56"/>
  <c r="D9" i="56"/>
  <c r="E25" i="56"/>
  <c r="J8" i="56" l="1"/>
  <c r="Q8" i="56" s="1"/>
  <c r="A9" i="56"/>
  <c r="A10" i="56" s="1"/>
  <c r="A11" i="56" s="1"/>
  <c r="A12" i="56" s="1"/>
  <c r="A13" i="56" s="1"/>
  <c r="Q10" i="56"/>
  <c r="F11" i="56"/>
  <c r="Q11" i="56" s="1"/>
  <c r="Q13" i="56"/>
  <c r="Q15" i="56"/>
  <c r="Q16" i="56"/>
  <c r="D17" i="56"/>
  <c r="Q17" i="56" s="1"/>
  <c r="Q19" i="56"/>
  <c r="Q20" i="56"/>
  <c r="D21" i="56"/>
  <c r="Q21" i="56" s="1"/>
  <c r="Q22" i="56"/>
  <c r="Q23" i="56"/>
  <c r="Q26" i="56"/>
  <c r="L32" i="56"/>
  <c r="K32" i="56"/>
  <c r="M32" i="56"/>
  <c r="N32" i="56"/>
  <c r="O32" i="56"/>
  <c r="P32" i="56"/>
  <c r="A14" i="56" l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J32" i="56"/>
  <c r="G32" i="56"/>
  <c r="I32" i="56"/>
  <c r="E32" i="56"/>
  <c r="Q27" i="56"/>
  <c r="Q24" i="56"/>
  <c r="Q25" i="56"/>
  <c r="F32" i="56"/>
  <c r="O34" i="56"/>
  <c r="O36" i="56"/>
  <c r="F525" i="2"/>
  <c r="F520" i="2"/>
  <c r="F503" i="2"/>
  <c r="F500" i="2"/>
  <c r="F463" i="2"/>
  <c r="F429" i="2"/>
  <c r="F424" i="2"/>
  <c r="F402" i="2"/>
  <c r="F384" i="2"/>
  <c r="F356" i="2"/>
  <c r="F347" i="2"/>
  <c r="F336" i="2"/>
  <c r="F318" i="2"/>
  <c r="F309" i="2"/>
  <c r="J309" i="2"/>
  <c r="K309" i="2"/>
  <c r="L309" i="2"/>
  <c r="F298" i="2"/>
  <c r="F286" i="2"/>
  <c r="F268" i="2"/>
  <c r="F227" i="2"/>
  <c r="F217" i="2"/>
  <c r="F201" i="2"/>
  <c r="F146" i="2"/>
  <c r="F120" i="2"/>
  <c r="F27" i="50" s="1"/>
  <c r="F111" i="2"/>
  <c r="F103" i="2"/>
  <c r="F84" i="2"/>
  <c r="F67" i="2"/>
  <c r="A28" i="56" l="1"/>
  <c r="A29" i="56" s="1"/>
  <c r="A30" i="56" s="1"/>
  <c r="A31" i="56" s="1"/>
  <c r="O40" i="56"/>
  <c r="F30" i="50"/>
  <c r="F31" i="50"/>
  <c r="F32" i="50"/>
  <c r="F33" i="50"/>
  <c r="F35" i="50"/>
  <c r="F36" i="50"/>
  <c r="F37" i="50"/>
  <c r="F38" i="50"/>
  <c r="F39" i="50"/>
  <c r="F468" i="2"/>
  <c r="F34" i="50" s="1"/>
  <c r="F331" i="2"/>
  <c r="F324" i="2"/>
  <c r="E525" i="2"/>
  <c r="E520" i="2"/>
  <c r="E503" i="2"/>
  <c r="E38" i="50" s="1"/>
  <c r="E500" i="2"/>
  <c r="E468" i="2"/>
  <c r="E463" i="2"/>
  <c r="E429" i="2"/>
  <c r="E424" i="2"/>
  <c r="E402" i="2"/>
  <c r="E384" i="2"/>
  <c r="E356" i="2"/>
  <c r="E347" i="2"/>
  <c r="E336" i="2"/>
  <c r="E331" i="2"/>
  <c r="E324" i="2"/>
  <c r="E318" i="2"/>
  <c r="E309" i="2"/>
  <c r="E298" i="2"/>
  <c r="E286" i="2"/>
  <c r="E268" i="2"/>
  <c r="E227" i="2"/>
  <c r="E217" i="2"/>
  <c r="E201" i="2"/>
  <c r="E184" i="2"/>
  <c r="E179" i="2"/>
  <c r="E159" i="2"/>
  <c r="E172" i="2" s="1"/>
  <c r="E146" i="2"/>
  <c r="E120" i="2"/>
  <c r="E111" i="2"/>
  <c r="E103" i="2"/>
  <c r="E84" i="2"/>
  <c r="E67" i="2"/>
  <c r="E44" i="2"/>
  <c r="F44" i="2"/>
  <c r="E37" i="1"/>
  <c r="E22" i="1"/>
  <c r="E14" i="1"/>
  <c r="F14" i="1"/>
  <c r="F17" i="1"/>
  <c r="F22" i="1"/>
  <c r="F17" i="50"/>
  <c r="F18" i="50"/>
  <c r="F19" i="50"/>
  <c r="F159" i="2"/>
  <c r="F172" i="2" s="1"/>
  <c r="F179" i="2"/>
  <c r="F184" i="2"/>
  <c r="I47" i="2"/>
  <c r="I48" i="2"/>
  <c r="I50" i="2"/>
  <c r="I51" i="2"/>
  <c r="I52" i="2"/>
  <c r="I55" i="2"/>
  <c r="I57" i="2"/>
  <c r="I58" i="2"/>
  <c r="I61" i="2"/>
  <c r="I62" i="2"/>
  <c r="I63" i="2"/>
  <c r="I65" i="2"/>
  <c r="I64" i="2"/>
  <c r="I66" i="2"/>
  <c r="I70" i="2"/>
  <c r="I72" i="2"/>
  <c r="I73" i="2"/>
  <c r="I76" i="2"/>
  <c r="I78" i="2"/>
  <c r="I80" i="2"/>
  <c r="I81" i="2"/>
  <c r="I82" i="2"/>
  <c r="I83" i="2"/>
  <c r="I87" i="2"/>
  <c r="I89" i="2"/>
  <c r="I90" i="2"/>
  <c r="I91" i="2"/>
  <c r="I94" i="2"/>
  <c r="I96" i="2"/>
  <c r="I98" i="2"/>
  <c r="I99" i="2"/>
  <c r="I100" i="2"/>
  <c r="I101" i="2"/>
  <c r="I102" i="2"/>
  <c r="I105" i="2"/>
  <c r="I111" i="2" s="1"/>
  <c r="I106" i="2"/>
  <c r="I107" i="2"/>
  <c r="I109" i="2"/>
  <c r="I110" i="2"/>
  <c r="I113" i="2"/>
  <c r="I114" i="2"/>
  <c r="I120" i="2" s="1"/>
  <c r="I117" i="2"/>
  <c r="I118" i="2"/>
  <c r="I119" i="2"/>
  <c r="I115" i="2"/>
  <c r="I122" i="2"/>
  <c r="I129" i="2" s="1"/>
  <c r="I123" i="2"/>
  <c r="I124" i="2"/>
  <c r="I125" i="2"/>
  <c r="I131" i="2"/>
  <c r="I146" i="2" s="1"/>
  <c r="I134" i="2"/>
  <c r="I135" i="2"/>
  <c r="I140" i="2"/>
  <c r="I141" i="2"/>
  <c r="I142" i="2"/>
  <c r="I143" i="2"/>
  <c r="I144" i="2"/>
  <c r="I156" i="2"/>
  <c r="I172" i="2" s="1"/>
  <c r="I158" i="2"/>
  <c r="I159" i="2"/>
  <c r="I175" i="2"/>
  <c r="I182" i="2"/>
  <c r="I184" i="2" s="1"/>
  <c r="I183" i="2"/>
  <c r="I187" i="2"/>
  <c r="I189" i="2"/>
  <c r="I190" i="2"/>
  <c r="I191" i="2"/>
  <c r="I194" i="2"/>
  <c r="I196" i="2"/>
  <c r="I199" i="2"/>
  <c r="I200" i="2"/>
  <c r="I197" i="2"/>
  <c r="I205" i="2"/>
  <c r="I207" i="2"/>
  <c r="I208" i="2"/>
  <c r="I210" i="2"/>
  <c r="I213" i="2"/>
  <c r="I214" i="2"/>
  <c r="I215" i="2"/>
  <c r="I216" i="2"/>
  <c r="L229" i="2"/>
  <c r="L230" i="2"/>
  <c r="I232" i="2"/>
  <c r="L232" i="2"/>
  <c r="L233" i="2"/>
  <c r="I234" i="2"/>
  <c r="I235" i="2"/>
  <c r="L237" i="2"/>
  <c r="L238" i="2"/>
  <c r="I264" i="2"/>
  <c r="I240" i="2"/>
  <c r="I251" i="2"/>
  <c r="I256" i="2"/>
  <c r="I252" i="2"/>
  <c r="I257" i="2"/>
  <c r="I241" i="2"/>
  <c r="I263" i="2"/>
  <c r="I266" i="2"/>
  <c r="I270" i="2"/>
  <c r="I271" i="2"/>
  <c r="I276" i="2"/>
  <c r="I278" i="2"/>
  <c r="I279" i="2"/>
  <c r="I280" i="2"/>
  <c r="I291" i="2"/>
  <c r="I294" i="2"/>
  <c r="I296" i="2"/>
  <c r="I295" i="2"/>
  <c r="I307" i="2"/>
  <c r="I308" i="2"/>
  <c r="I315" i="2"/>
  <c r="I317" i="2"/>
  <c r="I334" i="2"/>
  <c r="I336" i="2" s="1"/>
  <c r="I333" i="2"/>
  <c r="I339" i="2"/>
  <c r="I342" i="2"/>
  <c r="I344" i="2"/>
  <c r="I345" i="2"/>
  <c r="I346" i="2"/>
  <c r="I349" i="2"/>
  <c r="I356" i="2" s="1"/>
  <c r="I350" i="2"/>
  <c r="I351" i="2"/>
  <c r="I352" i="2"/>
  <c r="I354" i="2"/>
  <c r="I355" i="2"/>
  <c r="I361" i="2"/>
  <c r="I362" i="2"/>
  <c r="I363" i="2"/>
  <c r="I364" i="2"/>
  <c r="I367" i="2"/>
  <c r="I369" i="2"/>
  <c r="I370" i="2"/>
  <c r="I371" i="2"/>
  <c r="I372" i="2"/>
  <c r="I373" i="2"/>
  <c r="I375" i="2"/>
  <c r="I374" i="2"/>
  <c r="I376" i="2"/>
  <c r="I377" i="2"/>
  <c r="I378" i="2"/>
  <c r="I379" i="2"/>
  <c r="I380" i="2"/>
  <c r="I382" i="2"/>
  <c r="I381" i="2"/>
  <c r="I383" i="2"/>
  <c r="I386" i="2"/>
  <c r="I402" i="2" s="1"/>
  <c r="I388" i="2"/>
  <c r="I389" i="2"/>
  <c r="I390" i="2"/>
  <c r="I396" i="2"/>
  <c r="I397" i="2"/>
  <c r="I398" i="2"/>
  <c r="I399" i="2"/>
  <c r="I401" i="2"/>
  <c r="I400" i="2"/>
  <c r="I405" i="2"/>
  <c r="J405" i="2"/>
  <c r="I406" i="2"/>
  <c r="I409" i="2"/>
  <c r="I410" i="2"/>
  <c r="I411" i="2"/>
  <c r="I418" i="2"/>
  <c r="I419" i="2"/>
  <c r="I420" i="2"/>
  <c r="I421" i="2"/>
  <c r="I422" i="2"/>
  <c r="I423" i="2"/>
  <c r="I426" i="2"/>
  <c r="I429" i="2" s="1"/>
  <c r="I427" i="2"/>
  <c r="I428" i="2"/>
  <c r="I433" i="2"/>
  <c r="I434" i="2"/>
  <c r="I440" i="2"/>
  <c r="I441" i="2"/>
  <c r="I442" i="2"/>
  <c r="I443" i="2"/>
  <c r="I444" i="2"/>
  <c r="I445" i="2"/>
  <c r="I446" i="2"/>
  <c r="I447" i="2"/>
  <c r="I449" i="2"/>
  <c r="I450" i="2"/>
  <c r="I451" i="2"/>
  <c r="I452" i="2"/>
  <c r="I453" i="2"/>
  <c r="I454" i="2"/>
  <c r="I455" i="2"/>
  <c r="I456" i="2"/>
  <c r="I457" i="2"/>
  <c r="I458" i="2"/>
  <c r="I460" i="2"/>
  <c r="I461" i="2"/>
  <c r="I459" i="2"/>
  <c r="I462" i="2"/>
  <c r="I470" i="2"/>
  <c r="I500" i="2" s="1"/>
  <c r="I472" i="2"/>
  <c r="I473" i="2"/>
  <c r="I474" i="2"/>
  <c r="I475" i="2"/>
  <c r="I476" i="2"/>
  <c r="I482" i="2"/>
  <c r="I483" i="2"/>
  <c r="I484" i="2"/>
  <c r="I486" i="2"/>
  <c r="I487" i="2"/>
  <c r="I488" i="2"/>
  <c r="I489" i="2"/>
  <c r="I490" i="2"/>
  <c r="I491" i="2"/>
  <c r="I492" i="2"/>
  <c r="I493" i="2"/>
  <c r="I494" i="2"/>
  <c r="I495" i="2"/>
  <c r="I497" i="2"/>
  <c r="I496" i="2"/>
  <c r="I498" i="2"/>
  <c r="I502" i="2"/>
  <c r="I503" i="2" s="1"/>
  <c r="I506" i="2"/>
  <c r="I520" i="2" s="1"/>
  <c r="I510" i="2"/>
  <c r="I511" i="2"/>
  <c r="I512" i="2"/>
  <c r="I513" i="2"/>
  <c r="I514" i="2"/>
  <c r="I516" i="2"/>
  <c r="I515" i="2"/>
  <c r="I517" i="2"/>
  <c r="I518" i="2"/>
  <c r="I519" i="2"/>
  <c r="I522" i="2"/>
  <c r="I525" i="2" s="1"/>
  <c r="I523" i="2"/>
  <c r="I524" i="2"/>
  <c r="E27" i="50" l="1"/>
  <c r="E26" i="50"/>
  <c r="F26" i="50"/>
  <c r="E533" i="2"/>
  <c r="F533" i="2"/>
  <c r="E34" i="50"/>
  <c r="E29" i="50"/>
  <c r="F16" i="50"/>
  <c r="F20" i="50" s="1"/>
  <c r="F29" i="50"/>
  <c r="E96" i="1"/>
  <c r="I298" i="2"/>
  <c r="I286" i="2"/>
  <c r="I174" i="2"/>
  <c r="I179" i="2" s="1"/>
  <c r="I157" i="2"/>
  <c r="I509" i="2"/>
  <c r="I358" i="2"/>
  <c r="I384" i="2" s="1"/>
  <c r="I404" i="2"/>
  <c r="I424" i="2" s="1"/>
  <c r="I368" i="2"/>
  <c r="I335" i="2"/>
  <c r="L240" i="2"/>
  <c r="F96" i="1"/>
  <c r="I507" i="2"/>
  <c r="I176" i="2"/>
  <c r="I366" i="2"/>
  <c r="F40" i="50" l="1"/>
  <c r="F42" i="50" s="1"/>
  <c r="F535" i="2"/>
  <c r="F47" i="50" l="1"/>
  <c r="E35" i="50"/>
  <c r="E18" i="50"/>
  <c r="E36" i="50"/>
  <c r="E30" i="50"/>
  <c r="E31" i="50"/>
  <c r="E33" i="50"/>
  <c r="E37" i="50"/>
  <c r="E39" i="50"/>
  <c r="E32" i="50" l="1"/>
  <c r="E19" i="50"/>
  <c r="E16" i="50"/>
  <c r="E40" i="50" l="1"/>
  <c r="E20" i="50"/>
  <c r="E535" i="2"/>
  <c r="I33" i="52"/>
  <c r="I14" i="52"/>
  <c r="K9" i="52"/>
  <c r="I8" i="52"/>
  <c r="I10" i="52"/>
  <c r="E42" i="50" l="1"/>
  <c r="O36" i="53"/>
  <c r="I36" i="53"/>
  <c r="D7" i="53"/>
  <c r="S7" i="53" s="1"/>
  <c r="D25" i="53"/>
  <c r="M15" i="53"/>
  <c r="C15" i="53"/>
  <c r="S15" i="53" s="1"/>
  <c r="D35" i="53"/>
  <c r="S35" i="53" s="1"/>
  <c r="P33" i="53"/>
  <c r="N32" i="53"/>
  <c r="S32" i="53" s="1"/>
  <c r="R31" i="53"/>
  <c r="Q31" i="53"/>
  <c r="M30" i="53"/>
  <c r="F30" i="53"/>
  <c r="G30" i="53"/>
  <c r="G36" i="53" s="1"/>
  <c r="I275" i="2" s="1"/>
  <c r="M29" i="53"/>
  <c r="F29" i="53"/>
  <c r="C29" i="53"/>
  <c r="M28" i="53"/>
  <c r="H28" i="53"/>
  <c r="H36" i="53" s="1"/>
  <c r="I230" i="2" s="1"/>
  <c r="C28" i="53"/>
  <c r="F27" i="53"/>
  <c r="M26" i="53"/>
  <c r="E26" i="53"/>
  <c r="E36" i="53" s="1"/>
  <c r="I206" i="2" s="1"/>
  <c r="C26" i="53"/>
  <c r="F24" i="53"/>
  <c r="Q23" i="53"/>
  <c r="Q22" i="53"/>
  <c r="R20" i="53"/>
  <c r="L19" i="53"/>
  <c r="K19" i="53"/>
  <c r="L18" i="53"/>
  <c r="K18" i="53"/>
  <c r="R17" i="53"/>
  <c r="R16" i="53"/>
  <c r="J14" i="53"/>
  <c r="J13" i="53"/>
  <c r="J36" i="53" s="1"/>
  <c r="Q12" i="53"/>
  <c r="N12" i="53"/>
  <c r="Q11" i="53"/>
  <c r="N11" i="53"/>
  <c r="Q10" i="53"/>
  <c r="P10" i="53"/>
  <c r="Q9" i="53"/>
  <c r="P9" i="53"/>
  <c r="D8" i="53"/>
  <c r="C8" i="53"/>
  <c r="F48" i="50" l="1"/>
  <c r="G48" i="50"/>
  <c r="S31" i="53"/>
  <c r="I338" i="2"/>
  <c r="I347" i="2" s="1"/>
  <c r="I343" i="2"/>
  <c r="I341" i="2"/>
  <c r="I395" i="2"/>
  <c r="I393" i="2"/>
  <c r="I387" i="2"/>
  <c r="K36" i="53"/>
  <c r="C36" i="53"/>
  <c r="I49" i="2" s="1"/>
  <c r="N36" i="53"/>
  <c r="M36" i="53"/>
  <c r="P36" i="53"/>
  <c r="Q36" i="53"/>
  <c r="L36" i="53"/>
  <c r="I408" i="2" s="1"/>
  <c r="F36" i="53"/>
  <c r="I188" i="2" s="1"/>
  <c r="D36" i="53"/>
  <c r="I133" i="2" s="1"/>
  <c r="I11" i="52"/>
  <c r="I12" i="52"/>
  <c r="I21" i="52"/>
  <c r="I28" i="52"/>
  <c r="H29" i="52"/>
  <c r="E29" i="52"/>
  <c r="H16" i="52"/>
  <c r="G25" i="52"/>
  <c r="G17" i="52"/>
  <c r="L34" i="52"/>
  <c r="M33" i="52"/>
  <c r="M34" i="52" s="1"/>
  <c r="D32" i="52"/>
  <c r="J31" i="52"/>
  <c r="F30" i="52"/>
  <c r="F27" i="52"/>
  <c r="E27" i="52"/>
  <c r="F20" i="52"/>
  <c r="E20" i="52"/>
  <c r="J26" i="52"/>
  <c r="D24" i="52"/>
  <c r="D23" i="52"/>
  <c r="D19" i="52"/>
  <c r="J18" i="52"/>
  <c r="F15" i="52"/>
  <c r="D13" i="52"/>
  <c r="K34" i="52"/>
  <c r="I437" i="2" l="1"/>
  <c r="I432" i="2"/>
  <c r="I463" i="2" s="1"/>
  <c r="I439" i="2"/>
  <c r="I300" i="2"/>
  <c r="I309" i="2" s="1"/>
  <c r="I304" i="2"/>
  <c r="I407" i="2"/>
  <c r="I414" i="2"/>
  <c r="I416" i="2"/>
  <c r="I229" i="2"/>
  <c r="I268" i="2" s="1"/>
  <c r="I237" i="2"/>
  <c r="I238" i="2"/>
  <c r="I302" i="2"/>
  <c r="I305" i="2"/>
  <c r="G34" i="52"/>
  <c r="F34" i="52"/>
  <c r="H34" i="52"/>
  <c r="I34" i="52"/>
  <c r="J34" i="52"/>
  <c r="E34" i="52"/>
  <c r="I132" i="2" l="1"/>
  <c r="I137" i="2"/>
  <c r="I138" i="2"/>
  <c r="I69" i="2"/>
  <c r="I84" i="2" s="1"/>
  <c r="I77" i="2"/>
  <c r="I75" i="2"/>
  <c r="I204" i="2"/>
  <c r="I217" i="2" s="1"/>
  <c r="I212" i="2"/>
  <c r="I211" i="2"/>
  <c r="I186" i="2"/>
  <c r="I201" i="2" s="1"/>
  <c r="I195" i="2"/>
  <c r="I193" i="2"/>
  <c r="I86" i="2"/>
  <c r="I103" i="2" s="1"/>
  <c r="I93" i="2"/>
  <c r="I95" i="2"/>
  <c r="AA16" i="54" l="1"/>
  <c r="U11" i="54" s="1"/>
  <c r="Q11" i="54" s="1"/>
  <c r="Z11" i="54" s="1"/>
  <c r="AA15" i="54"/>
  <c r="U21" i="54" s="1"/>
  <c r="AA14" i="54"/>
  <c r="U15" i="54" s="1"/>
  <c r="Q18" i="55"/>
  <c r="R18" i="55" s="1"/>
  <c r="Q17" i="55"/>
  <c r="Q22" i="55" s="1"/>
  <c r="R17" i="55"/>
  <c r="N21" i="55" s="1"/>
  <c r="Q16" i="55"/>
  <c r="Q21" i="55"/>
  <c r="AD29" i="54"/>
  <c r="AD28" i="54"/>
  <c r="AD27" i="54"/>
  <c r="AA29" i="54"/>
  <c r="AA28" i="54"/>
  <c r="AA27" i="54"/>
  <c r="U28" i="54" s="1"/>
  <c r="L28" i="54" s="1"/>
  <c r="L31" i="54" s="1"/>
  <c r="L34" i="54" s="1"/>
  <c r="AA12" i="54"/>
  <c r="U16" i="54" s="1"/>
  <c r="Q16" i="54" s="1"/>
  <c r="Z16" i="54" s="1"/>
  <c r="AA11" i="54"/>
  <c r="U19" i="54" s="1"/>
  <c r="M19" i="54" s="1"/>
  <c r="Z19" i="54" s="1"/>
  <c r="AA10" i="54"/>
  <c r="X13" i="54" s="1"/>
  <c r="R13" i="55"/>
  <c r="R12" i="55"/>
  <c r="N14" i="55" s="1"/>
  <c r="R11" i="55"/>
  <c r="N13" i="55" s="1"/>
  <c r="E13" i="55" s="1"/>
  <c r="O13" i="55" s="1"/>
  <c r="Z9" i="54"/>
  <c r="T35" i="53"/>
  <c r="S22" i="53"/>
  <c r="T22" i="53" s="1"/>
  <c r="S9" i="53"/>
  <c r="T9" i="53" s="1"/>
  <c r="B35" i="18"/>
  <c r="A35" i="18"/>
  <c r="A55" i="18" s="1"/>
  <c r="R24" i="52"/>
  <c r="V30" i="8"/>
  <c r="M19" i="8"/>
  <c r="R13" i="52"/>
  <c r="R16" i="52"/>
  <c r="R18" i="52"/>
  <c r="R23" i="52"/>
  <c r="R26" i="52"/>
  <c r="R27" i="52"/>
  <c r="J8" i="8"/>
  <c r="M8" i="8" s="1"/>
  <c r="V11" i="8"/>
  <c r="V7" i="8"/>
  <c r="B2" i="30"/>
  <c r="B4" i="30" s="1"/>
  <c r="J9" i="8"/>
  <c r="M9" i="8" s="1"/>
  <c r="J10" i="8"/>
  <c r="M10" i="8" s="1"/>
  <c r="J11" i="8"/>
  <c r="M11" i="8" s="1"/>
  <c r="J13" i="8"/>
  <c r="M13" i="8"/>
  <c r="S13" i="8"/>
  <c r="V13" i="8"/>
  <c r="J14" i="8"/>
  <c r="M14" i="8" s="1"/>
  <c r="J15" i="8"/>
  <c r="M15" i="8" s="1"/>
  <c r="S15" i="8"/>
  <c r="J16" i="8"/>
  <c r="M16" i="8" s="1"/>
  <c r="G17" i="8"/>
  <c r="J17" i="8" s="1"/>
  <c r="M17" i="8" s="1"/>
  <c r="S17" i="8"/>
  <c r="V17" i="8"/>
  <c r="M18" i="8"/>
  <c r="G20" i="8"/>
  <c r="J20" i="8" s="1"/>
  <c r="M20" i="8" s="1"/>
  <c r="S20" i="8"/>
  <c r="V20" i="8"/>
  <c r="J22" i="8"/>
  <c r="M22" i="8" s="1"/>
  <c r="J23" i="8"/>
  <c r="M23" i="8" s="1"/>
  <c r="J24" i="8"/>
  <c r="M24" i="8" s="1"/>
  <c r="J25" i="8"/>
  <c r="M25" i="8" s="1"/>
  <c r="J26" i="8"/>
  <c r="M26" i="8" s="1"/>
  <c r="G27" i="8"/>
  <c r="J27" i="8" s="1"/>
  <c r="M27" i="8" s="1"/>
  <c r="S27" i="8"/>
  <c r="V27" i="8"/>
  <c r="R32" i="52" s="1"/>
  <c r="J28" i="8"/>
  <c r="M28" i="8" s="1"/>
  <c r="J29" i="8"/>
  <c r="M29" i="8" s="1"/>
  <c r="J31" i="8"/>
  <c r="M31" i="8" s="1"/>
  <c r="P33" i="8"/>
  <c r="A10" i="52"/>
  <c r="A14" i="52" s="1"/>
  <c r="A15" i="52" s="1"/>
  <c r="A16" i="52" s="1"/>
  <c r="A17" i="52" s="1"/>
  <c r="A18" i="52" s="1"/>
  <c r="A19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Q34" i="52"/>
  <c r="T14" i="53"/>
  <c r="S16" i="53"/>
  <c r="T16" i="53" s="1"/>
  <c r="S18" i="53"/>
  <c r="T18" i="53" s="1"/>
  <c r="T19" i="53"/>
  <c r="S20" i="53"/>
  <c r="T20" i="53" s="1"/>
  <c r="R21" i="53"/>
  <c r="S23" i="53"/>
  <c r="T23" i="53" s="1"/>
  <c r="S26" i="53"/>
  <c r="T26" i="53" s="1"/>
  <c r="S30" i="53"/>
  <c r="T30" i="53" s="1"/>
  <c r="S33" i="53"/>
  <c r="T33" i="53" s="1"/>
  <c r="D38" i="53"/>
  <c r="B8" i="30"/>
  <c r="B22" i="30" s="1"/>
  <c r="B9" i="30"/>
  <c r="B10" i="30"/>
  <c r="B11" i="30"/>
  <c r="B12" i="30"/>
  <c r="B13" i="30"/>
  <c r="B14" i="30"/>
  <c r="B15" i="30"/>
  <c r="B16" i="30"/>
  <c r="B17" i="30"/>
  <c r="B18" i="30"/>
  <c r="B19" i="30"/>
  <c r="B20" i="30"/>
  <c r="A8" i="55"/>
  <c r="A9" i="55" s="1"/>
  <c r="A10" i="55" s="1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6" i="55" s="1"/>
  <c r="A25" i="55" s="1"/>
  <c r="A27" i="55" s="1"/>
  <c r="A28" i="55" s="1"/>
  <c r="A29" i="55" s="1"/>
  <c r="A30" i="55" s="1"/>
  <c r="A31" i="55" s="1"/>
  <c r="R16" i="55"/>
  <c r="W11" i="54"/>
  <c r="AD14" i="54"/>
  <c r="AD15" i="54"/>
  <c r="AD16" i="54"/>
  <c r="W20" i="54"/>
  <c r="X22" i="54"/>
  <c r="D25" i="54"/>
  <c r="J25" i="54"/>
  <c r="L25" i="54"/>
  <c r="N25" i="54"/>
  <c r="P25" i="54"/>
  <c r="R25" i="54"/>
  <c r="V25" i="54"/>
  <c r="C31" i="54"/>
  <c r="D31" i="54"/>
  <c r="D34" i="54" s="1"/>
  <c r="E31" i="54"/>
  <c r="F31" i="54"/>
  <c r="G31" i="54"/>
  <c r="H31" i="54"/>
  <c r="I31" i="54"/>
  <c r="K31" i="54"/>
  <c r="M31" i="54"/>
  <c r="O31" i="54"/>
  <c r="Q31" i="54"/>
  <c r="S31" i="54"/>
  <c r="T31" i="54"/>
  <c r="V31" i="54"/>
  <c r="W31" i="54"/>
  <c r="A11" i="18"/>
  <c r="C17" i="18"/>
  <c r="C18" i="18"/>
  <c r="C19" i="18"/>
  <c r="C29" i="18" s="1"/>
  <c r="C36" i="18" s="1"/>
  <c r="C20" i="18"/>
  <c r="C21" i="18"/>
  <c r="C22" i="18"/>
  <c r="C23" i="18"/>
  <c r="C24" i="18"/>
  <c r="C25" i="18"/>
  <c r="A28" i="18"/>
  <c r="B28" i="18"/>
  <c r="A29" i="18"/>
  <c r="B29" i="18"/>
  <c r="A30" i="18"/>
  <c r="B30" i="18"/>
  <c r="A31" i="18"/>
  <c r="B31" i="18"/>
  <c r="A32" i="18"/>
  <c r="H53" i="18"/>
  <c r="B32" i="18"/>
  <c r="A33" i="18"/>
  <c r="A52" i="18" s="1"/>
  <c r="B33" i="18"/>
  <c r="C34" i="18"/>
  <c r="A39" i="18"/>
  <c r="A45" i="18" s="1"/>
  <c r="J56" i="18" s="1"/>
  <c r="J58" i="18" s="1"/>
  <c r="A46" i="18"/>
  <c r="A53" i="18"/>
  <c r="H55" i="18"/>
  <c r="X21" i="54"/>
  <c r="O34" i="52"/>
  <c r="B3" i="30"/>
  <c r="N19" i="55"/>
  <c r="E19" i="55" s="1"/>
  <c r="C26" i="18"/>
  <c r="R31" i="52"/>
  <c r="X8" i="54"/>
  <c r="U8" i="54"/>
  <c r="U7" i="54"/>
  <c r="X15" i="54"/>
  <c r="X10" i="54"/>
  <c r="X30" i="54"/>
  <c r="U30" i="54"/>
  <c r="X28" i="54"/>
  <c r="U29" i="54"/>
  <c r="Q23" i="55"/>
  <c r="T17" i="53"/>
  <c r="E40" i="53"/>
  <c r="E38" i="53"/>
  <c r="X11" i="54"/>
  <c r="AA21" i="54"/>
  <c r="U10" i="54"/>
  <c r="Q10" i="54" s="1"/>
  <c r="N12" i="55"/>
  <c r="X16" i="54" l="1"/>
  <c r="N18" i="55"/>
  <c r="G18" i="55" s="1"/>
  <c r="N10" i="55"/>
  <c r="X24" i="54"/>
  <c r="AE12" i="54"/>
  <c r="X14" i="54"/>
  <c r="AE10" i="54"/>
  <c r="X17" i="54"/>
  <c r="U17" i="54"/>
  <c r="O17" i="54" s="1"/>
  <c r="X27" i="54"/>
  <c r="X31" i="54" s="1"/>
  <c r="X34" i="54" s="1"/>
  <c r="U24" i="54"/>
  <c r="T24" i="54" s="1"/>
  <c r="Z24" i="54" s="1"/>
  <c r="C28" i="18"/>
  <c r="U22" i="54"/>
  <c r="E22" i="54" s="1"/>
  <c r="E25" i="54" s="1"/>
  <c r="E34" i="54" s="1"/>
  <c r="X7" i="54"/>
  <c r="X25" i="54" s="1"/>
  <c r="X29" i="54"/>
  <c r="U23" i="54"/>
  <c r="F23" i="54" s="1"/>
  <c r="U12" i="54"/>
  <c r="O12" i="54" s="1"/>
  <c r="U27" i="54"/>
  <c r="Y27" i="54" s="1"/>
  <c r="C31" i="18"/>
  <c r="N31" i="55"/>
  <c r="G31" i="55" s="1"/>
  <c r="AA19" i="54"/>
  <c r="N30" i="55"/>
  <c r="L30" i="55" s="1"/>
  <c r="L33" i="55" s="1"/>
  <c r="AD19" i="54"/>
  <c r="C33" i="18"/>
  <c r="C35" i="18"/>
  <c r="C59" i="18" s="1"/>
  <c r="C61" i="18" s="1"/>
  <c r="C63" i="18" s="1"/>
  <c r="C64" i="18" s="1"/>
  <c r="N25" i="55"/>
  <c r="N28" i="55"/>
  <c r="J28" i="55" s="1"/>
  <c r="O28" i="55" s="1"/>
  <c r="G33" i="8"/>
  <c r="N26" i="55"/>
  <c r="I26" i="55" s="1"/>
  <c r="Y24" i="54"/>
  <c r="N23" i="55"/>
  <c r="N11" i="55"/>
  <c r="N7" i="55"/>
  <c r="W25" i="54"/>
  <c r="W34" i="54" s="1"/>
  <c r="T7" i="54"/>
  <c r="Y28" i="54"/>
  <c r="C32" i="18"/>
  <c r="M31" i="55"/>
  <c r="G7" i="54"/>
  <c r="H7" i="54" s="1"/>
  <c r="AD21" i="54"/>
  <c r="E14" i="55"/>
  <c r="O14" i="55" s="1"/>
  <c r="C7" i="54"/>
  <c r="U13" i="54"/>
  <c r="G13" i="54" s="1"/>
  <c r="T21" i="53"/>
  <c r="R36" i="53"/>
  <c r="S28" i="53"/>
  <c r="T28" i="53" s="1"/>
  <c r="F38" i="53"/>
  <c r="O40" i="53"/>
  <c r="H38" i="53"/>
  <c r="N38" i="53"/>
  <c r="F40" i="53"/>
  <c r="S24" i="53"/>
  <c r="T24" i="53" s="1"/>
  <c r="K40" i="53"/>
  <c r="D40" i="53"/>
  <c r="R28" i="52"/>
  <c r="R33" i="52"/>
  <c r="R14" i="52"/>
  <c r="N34" i="52"/>
  <c r="R19" i="52"/>
  <c r="N27" i="55"/>
  <c r="N9" i="55"/>
  <c r="N16" i="55"/>
  <c r="I16" i="55" s="1"/>
  <c r="N22" i="55"/>
  <c r="N29" i="55"/>
  <c r="N17" i="55"/>
  <c r="E17" i="55" s="1"/>
  <c r="O17" i="55" s="1"/>
  <c r="N24" i="55"/>
  <c r="G24" i="55" s="1"/>
  <c r="O24" i="55" s="1"/>
  <c r="N15" i="55"/>
  <c r="N8" i="55"/>
  <c r="N20" i="55"/>
  <c r="E20" i="55" s="1"/>
  <c r="O20" i="55" s="1"/>
  <c r="R21" i="52"/>
  <c r="S15" i="54"/>
  <c r="Z15" i="54" s="1"/>
  <c r="Y15" i="54"/>
  <c r="O21" i="54"/>
  <c r="Z21" i="54" s="1"/>
  <c r="Y21" i="54"/>
  <c r="E10" i="55"/>
  <c r="O10" i="55" s="1"/>
  <c r="M38" i="53"/>
  <c r="M40" i="53"/>
  <c r="D22" i="52"/>
  <c r="R17" i="52"/>
  <c r="I38" i="53"/>
  <c r="I40" i="53"/>
  <c r="E21" i="55"/>
  <c r="F21" i="55"/>
  <c r="Y11" i="54"/>
  <c r="J33" i="8"/>
  <c r="N27" i="54"/>
  <c r="N31" i="54" s="1"/>
  <c r="N34" i="54" s="1"/>
  <c r="I413" i="2" s="1"/>
  <c r="Z23" i="54"/>
  <c r="X18" i="54"/>
  <c r="AE11" i="54"/>
  <c r="M33" i="8"/>
  <c r="O19" i="55"/>
  <c r="U18" i="54"/>
  <c r="X19" i="54"/>
  <c r="Y19" i="54" s="1"/>
  <c r="S17" i="54"/>
  <c r="U20" i="54"/>
  <c r="J30" i="54"/>
  <c r="J31" i="54" s="1"/>
  <c r="J34" i="54" s="1"/>
  <c r="Y30" i="54"/>
  <c r="S8" i="53"/>
  <c r="B9" i="18"/>
  <c r="C9" i="18" s="1"/>
  <c r="S11" i="53"/>
  <c r="T11" i="53" s="1"/>
  <c r="X20" i="54"/>
  <c r="AA20" i="54"/>
  <c r="C30" i="18"/>
  <c r="U14" i="54"/>
  <c r="V33" i="8"/>
  <c r="O38" i="53"/>
  <c r="S33" i="8"/>
  <c r="Y16" i="54"/>
  <c r="A47" i="18"/>
  <c r="H52" i="18" s="1"/>
  <c r="AD20" i="54"/>
  <c r="B8" i="18"/>
  <c r="C8" i="18" s="1"/>
  <c r="B6" i="18"/>
  <c r="C14" i="30"/>
  <c r="E14" i="30" s="1"/>
  <c r="C9" i="30"/>
  <c r="E9" i="30" s="1"/>
  <c r="C15" i="30"/>
  <c r="E15" i="30" s="1"/>
  <c r="C10" i="30"/>
  <c r="E10" i="30" s="1"/>
  <c r="C16" i="30"/>
  <c r="E16" i="30" s="1"/>
  <c r="C20" i="30"/>
  <c r="E20" i="30" s="1"/>
  <c r="I508" i="2" s="1"/>
  <c r="C19" i="30"/>
  <c r="E19" i="30" s="1"/>
  <c r="I480" i="2" s="1"/>
  <c r="C13" i="30"/>
  <c r="E13" i="30" s="1"/>
  <c r="C8" i="30"/>
  <c r="E8" i="30" s="1"/>
  <c r="E22" i="30" s="1"/>
  <c r="E23" i="30" s="1"/>
  <c r="C18" i="30"/>
  <c r="E18" i="30" s="1"/>
  <c r="C12" i="30"/>
  <c r="E12" i="30" s="1"/>
  <c r="C17" i="30"/>
  <c r="E17" i="30" s="1"/>
  <c r="C11" i="30"/>
  <c r="E11" i="30" s="1"/>
  <c r="Z10" i="54"/>
  <c r="P29" i="54"/>
  <c r="P31" i="54" s="1"/>
  <c r="P34" i="54" s="1"/>
  <c r="I436" i="2" s="1"/>
  <c r="Y29" i="54"/>
  <c r="E12" i="55"/>
  <c r="Y10" i="54"/>
  <c r="Z28" i="54"/>
  <c r="S13" i="53"/>
  <c r="M25" i="54"/>
  <c r="M34" i="54" s="1"/>
  <c r="I412" i="2" s="1"/>
  <c r="L38" i="53"/>
  <c r="L40" i="53"/>
  <c r="O18" i="55"/>
  <c r="Y8" i="54"/>
  <c r="B7" i="18"/>
  <c r="C7" i="18" s="1"/>
  <c r="V34" i="54"/>
  <c r="S27" i="53"/>
  <c r="T27" i="53" s="1"/>
  <c r="U31" i="54"/>
  <c r="R29" i="54"/>
  <c r="R31" i="54" s="1"/>
  <c r="R34" i="54" s="1"/>
  <c r="I478" i="2" s="1"/>
  <c r="T8" i="54"/>
  <c r="R25" i="52"/>
  <c r="I392" i="2" l="1"/>
  <c r="I365" i="2"/>
  <c r="I303" i="2"/>
  <c r="I233" i="2"/>
  <c r="Y22" i="54"/>
  <c r="I17" i="54"/>
  <c r="I25" i="54" s="1"/>
  <c r="I34" i="54" s="1"/>
  <c r="O30" i="55"/>
  <c r="Y31" i="54"/>
  <c r="Y34" i="54" s="1"/>
  <c r="I311" i="2"/>
  <c r="I318" i="2" s="1"/>
  <c r="I314" i="2"/>
  <c r="I316" i="2"/>
  <c r="C22" i="54"/>
  <c r="Z22" i="54" s="1"/>
  <c r="I33" i="55"/>
  <c r="Z27" i="54"/>
  <c r="G25" i="54"/>
  <c r="G34" i="54" s="1"/>
  <c r="I277" i="2" s="1"/>
  <c r="Y7" i="54"/>
  <c r="Y25" i="54" s="1"/>
  <c r="O26" i="55"/>
  <c r="F22" i="54"/>
  <c r="F25" i="54" s="1"/>
  <c r="F34" i="54" s="1"/>
  <c r="I481" i="2"/>
  <c r="I479" i="2"/>
  <c r="I471" i="2"/>
  <c r="Y17" i="54"/>
  <c r="S12" i="54"/>
  <c r="Z12" i="54" s="1"/>
  <c r="I438" i="2"/>
  <c r="I394" i="2"/>
  <c r="I415" i="2"/>
  <c r="J23" i="55"/>
  <c r="F23" i="55"/>
  <c r="O23" i="55"/>
  <c r="Y13" i="54"/>
  <c r="F7" i="55"/>
  <c r="G7" i="55"/>
  <c r="Z7" i="54"/>
  <c r="C13" i="54"/>
  <c r="T13" i="54"/>
  <c r="T25" i="54" s="1"/>
  <c r="T34" i="54" s="1"/>
  <c r="G11" i="55"/>
  <c r="E11" i="55"/>
  <c r="O11" i="55" s="1"/>
  <c r="H25" i="55"/>
  <c r="H33" i="55" s="1"/>
  <c r="E25" i="55"/>
  <c r="O21" i="55"/>
  <c r="T8" i="53"/>
  <c r="S36" i="53"/>
  <c r="S35" i="8"/>
  <c r="O31" i="55"/>
  <c r="M33" i="55"/>
  <c r="I313" i="2" s="1"/>
  <c r="U25" i="54"/>
  <c r="J33" i="55"/>
  <c r="K38" i="53"/>
  <c r="H40" i="53"/>
  <c r="N40" i="53"/>
  <c r="J40" i="53"/>
  <c r="J38" i="53"/>
  <c r="R22" i="52"/>
  <c r="D34" i="52"/>
  <c r="R15" i="52"/>
  <c r="F29" i="55"/>
  <c r="E29" i="55"/>
  <c r="G29" i="55"/>
  <c r="Y18" i="54"/>
  <c r="O18" i="54"/>
  <c r="O25" i="54" s="1"/>
  <c r="O34" i="54" s="1"/>
  <c r="I435" i="2" s="1"/>
  <c r="G22" i="55"/>
  <c r="E22" i="55"/>
  <c r="F22" i="55"/>
  <c r="Z30" i="54"/>
  <c r="U34" i="54"/>
  <c r="M35" i="8"/>
  <c r="P40" i="53"/>
  <c r="P38" i="53"/>
  <c r="K9" i="55"/>
  <c r="K33" i="55" s="1"/>
  <c r="Y20" i="54"/>
  <c r="K20" i="54"/>
  <c r="K25" i="54" s="1"/>
  <c r="K34" i="54" s="1"/>
  <c r="I391" i="2" s="1"/>
  <c r="N33" i="55"/>
  <c r="F8" i="55"/>
  <c r="G8" i="55"/>
  <c r="F27" i="55"/>
  <c r="G27" i="55"/>
  <c r="Y14" i="54"/>
  <c r="Q14" i="54"/>
  <c r="J35" i="8"/>
  <c r="P35" i="8"/>
  <c r="G15" i="55"/>
  <c r="O15" i="55" s="1"/>
  <c r="S25" i="54"/>
  <c r="S34" i="54" s="1"/>
  <c r="C6" i="18"/>
  <c r="C12" i="18" s="1"/>
  <c r="B11" i="18"/>
  <c r="C22" i="30"/>
  <c r="C40" i="53"/>
  <c r="C38" i="53"/>
  <c r="Q38" i="53"/>
  <c r="Q40" i="53"/>
  <c r="Z29" i="54"/>
  <c r="G38" i="53"/>
  <c r="G40" i="53"/>
  <c r="H13" i="54"/>
  <c r="H25" i="54" s="1"/>
  <c r="H34" i="54" s="1"/>
  <c r="I236" i="2" s="1"/>
  <c r="O16" i="55"/>
  <c r="R40" i="53"/>
  <c r="R38" i="53"/>
  <c r="Z8" i="54"/>
  <c r="R29" i="52"/>
  <c r="O12" i="55"/>
  <c r="T13" i="53"/>
  <c r="I340" i="2" l="1"/>
  <c r="I209" i="2"/>
  <c r="E33" i="55"/>
  <c r="I136" i="2"/>
  <c r="Z17" i="54"/>
  <c r="C25" i="54"/>
  <c r="C34" i="54" s="1"/>
  <c r="I53" i="2" s="1"/>
  <c r="I192" i="2"/>
  <c r="I46" i="2"/>
  <c r="I67" i="2" s="1"/>
  <c r="I533" i="2" s="1"/>
  <c r="I56" i="2"/>
  <c r="I54" i="2"/>
  <c r="O25" i="55"/>
  <c r="O7" i="55"/>
  <c r="O27" i="55"/>
  <c r="O22" i="55"/>
  <c r="O9" i="55"/>
  <c r="Z18" i="54"/>
  <c r="O29" i="55"/>
  <c r="G33" i="55"/>
  <c r="O8" i="55"/>
  <c r="F33" i="55"/>
  <c r="Z14" i="54"/>
  <c r="Q25" i="54"/>
  <c r="Q34" i="54" s="1"/>
  <c r="I477" i="2" s="1"/>
  <c r="Z20" i="54"/>
  <c r="S40" i="53"/>
  <c r="S38" i="53"/>
  <c r="S44" i="53" s="1"/>
  <c r="Z13" i="54"/>
  <c r="I92" i="2" l="1"/>
  <c r="I74" i="2"/>
  <c r="F538" i="2"/>
  <c r="F539" i="2" l="1"/>
  <c r="G539" i="2"/>
  <c r="R9" i="52" l="1"/>
  <c r="P34" i="52"/>
  <c r="P38" i="52" s="1"/>
  <c r="P36" i="52" l="1"/>
  <c r="P42" i="52" s="1"/>
  <c r="R34" i="52"/>
  <c r="Q30" i="56"/>
  <c r="D32" i="56"/>
</calcChain>
</file>

<file path=xl/sharedStrings.xml><?xml version="1.0" encoding="utf-8"?>
<sst xmlns="http://schemas.openxmlformats.org/spreadsheetml/2006/main" count="2499" uniqueCount="1496">
  <si>
    <t>GENERAL FUND REVENUE</t>
  </si>
  <si>
    <t>ASN</t>
  </si>
  <si>
    <t>Description</t>
  </si>
  <si>
    <t>Budget</t>
  </si>
  <si>
    <t>Meyer Twp Prop Tax   C</t>
  </si>
  <si>
    <t>Gourley Twp Prop Tax   C</t>
  </si>
  <si>
    <t>Harris Twp Prop Tax   C</t>
  </si>
  <si>
    <t>Spalding Twp Prop Tax   C</t>
  </si>
  <si>
    <t>Interest on Invest/Deposits</t>
  </si>
  <si>
    <t>Sub / Conference Reimb</t>
  </si>
  <si>
    <t>R.E.A.P. Grant</t>
  </si>
  <si>
    <t>Title I - ECIA Part A</t>
  </si>
  <si>
    <t>Title II - Part A Training</t>
  </si>
  <si>
    <t>TOTAL GENERAL FUND REVENUE</t>
  </si>
  <si>
    <t>TOTAL GENERAL FUND EXPENSES</t>
  </si>
  <si>
    <t>TOTAL ELEMENTARY</t>
  </si>
  <si>
    <t>TOTAL JUNIOR HIGH</t>
  </si>
  <si>
    <t>TOTAL HIGH SCHOOL</t>
  </si>
  <si>
    <t>TOTAL SPECIAL EDUCATION</t>
  </si>
  <si>
    <t>TOTAL TITLE I</t>
  </si>
  <si>
    <t>TOTAL VOC ED &amp; CAP OUTLAY</t>
  </si>
  <si>
    <t>TOTAL COUNSELING</t>
  </si>
  <si>
    <t>TOTAL LIBRARY</t>
  </si>
  <si>
    <t>TOTAL BOARD OF EDUCATION</t>
  </si>
  <si>
    <t>TOTAL EXEC. ADMIN</t>
  </si>
  <si>
    <t>TOTAL FISCAL SERVICES</t>
  </si>
  <si>
    <t>TOTAL OPER &amp; MAINT BLDG</t>
  </si>
  <si>
    <t>TOTAL PUPIL TRANSPORTATION</t>
  </si>
  <si>
    <t>TOTAL CAPITAL OUTLAY</t>
  </si>
  <si>
    <t>Support Equip &amp; Furnt</t>
  </si>
  <si>
    <t>EXCESS OVER (UNDER)</t>
  </si>
  <si>
    <t>Library Books</t>
  </si>
  <si>
    <t>Contracted Serv - Board of Edu</t>
  </si>
  <si>
    <t>Custodial/Maint Salaries</t>
  </si>
  <si>
    <t>Water / Sewage / Garbage Service</t>
  </si>
  <si>
    <t>Building Insurance</t>
  </si>
  <si>
    <t>Repairs / Maint Land / Bldg</t>
  </si>
  <si>
    <t>Repairs / Maint Equip</t>
  </si>
  <si>
    <t>Contract Internet Lines</t>
  </si>
  <si>
    <t>Contracted Services Other</t>
  </si>
  <si>
    <t>Custodial Supplies</t>
  </si>
  <si>
    <t>Replacement of Vehicle</t>
  </si>
  <si>
    <t>Grease / Oil</t>
  </si>
  <si>
    <t>Gasoline - Propane - Diesel</t>
  </si>
  <si>
    <t>Bus Garage Supplies</t>
  </si>
  <si>
    <t>Vehicle Repair Parts</t>
  </si>
  <si>
    <t>Tires, Tubes &amp; Batteries</t>
  </si>
  <si>
    <t>Insurance on Buses</t>
  </si>
  <si>
    <t>Heat Fuel - Bus Garage</t>
  </si>
  <si>
    <t>Advertising - Sports</t>
  </si>
  <si>
    <t>TOTAL TRANSFERS</t>
  </si>
  <si>
    <t>North Central Area Schools BUDGET</t>
  </si>
  <si>
    <t>Difference</t>
  </si>
  <si>
    <t>TOTAL REAP GRANT EXPENSE</t>
  </si>
  <si>
    <t>FOOD SERVICE REVENUE</t>
  </si>
  <si>
    <t>FOOD SERVICE EXPENSES</t>
  </si>
  <si>
    <t>HS-Ele Food Service Federal Revenue</t>
  </si>
  <si>
    <t>TOTAL FOOD SERVICE FUND REVENUE</t>
  </si>
  <si>
    <t>TOTAL FOOD SERVICE FUND EXPENSES</t>
  </si>
  <si>
    <t>General Fund Transfer</t>
  </si>
  <si>
    <t>Elem    Meal Sales to Students</t>
  </si>
  <si>
    <t>HS       Meal Sales to Students</t>
  </si>
  <si>
    <t>HS       Meal Sales to Adults</t>
  </si>
  <si>
    <t>Elem    Meal Sales to Adults</t>
  </si>
  <si>
    <t>HS       Misc Food Service Revenue</t>
  </si>
  <si>
    <t>Ele       Misc Food Service Revenue</t>
  </si>
  <si>
    <t>USDA Entitlement Commodities</t>
  </si>
  <si>
    <t>HS Food Serv - Aides Salary</t>
  </si>
  <si>
    <t>HS Food Serv - Cooks Salary</t>
  </si>
  <si>
    <t>HS Food Serv - Sub Cooks</t>
  </si>
  <si>
    <t>HS Food Serv - Sub Aides</t>
  </si>
  <si>
    <t>HS Food Serv - Emp Insurance</t>
  </si>
  <si>
    <t>HS Food Serv - Retirement</t>
  </si>
  <si>
    <t>HS Food Serv - FICA</t>
  </si>
  <si>
    <t>HS Food Serv - Heat Kitchen</t>
  </si>
  <si>
    <t>HS Food Serv - Food Supplies</t>
  </si>
  <si>
    <t>HS Food Serv - Milk Purchases</t>
  </si>
  <si>
    <t>HS Food Serv - Ticket Refund</t>
  </si>
  <si>
    <t>ELE Food Serv - Aides Salary</t>
  </si>
  <si>
    <t>ELE Food Serv - Cooks Salary</t>
  </si>
  <si>
    <t>ELE Food Serv - Sub Cooks</t>
  </si>
  <si>
    <t>ELE Food Serv - Sub Aides</t>
  </si>
  <si>
    <t>ELE Food Serv - Emp Insurance</t>
  </si>
  <si>
    <t>ELE Food Serv - Retirement</t>
  </si>
  <si>
    <t>ELE Food Serv - FICA</t>
  </si>
  <si>
    <t>ELE Food Serv - Kitchen Equip</t>
  </si>
  <si>
    <t>ELE Food Serv - Heat Kitchen</t>
  </si>
  <si>
    <t>ELE Food Serv - Food Supplies</t>
  </si>
  <si>
    <t>ELE Food Serv - Milk Purchases</t>
  </si>
  <si>
    <t>ELE Food Serv - Ticket Refund</t>
  </si>
  <si>
    <t>ELE Food Serv - Contracted Serv</t>
  </si>
  <si>
    <t>HS Food Serv - Contracted Serv</t>
  </si>
  <si>
    <t>HS Food Serv - Non Food Supplies</t>
  </si>
  <si>
    <t>ELE Food Serv - Non Food Supplies</t>
  </si>
  <si>
    <t>TOTAL ELEM FOOD SERVICE EXPENSES</t>
  </si>
  <si>
    <t>TOTAL HS/JH FOOD SERVICE EXPENSES</t>
  </si>
  <si>
    <t>YTD</t>
  </si>
  <si>
    <t>ACTUAL</t>
  </si>
  <si>
    <t>TOTAL ELEMENTARY SCHOOL ADMIN</t>
  </si>
  <si>
    <t>Snow Plowing</t>
  </si>
  <si>
    <t>Athletic Equipment</t>
  </si>
  <si>
    <t>Game Receipts</t>
  </si>
  <si>
    <t>TOTAL JH / HS SCHOOL ADMIN</t>
  </si>
  <si>
    <t xml:space="preserve">USDA Bonus Commodities  </t>
  </si>
  <si>
    <t>HS Food Serv - Commodities/Bonus</t>
  </si>
  <si>
    <t>ELE Food Serv - Commodities/Bonus</t>
  </si>
  <si>
    <t>State Aid - Breakfast</t>
  </si>
  <si>
    <t>Lunch Fund Transfer</t>
  </si>
  <si>
    <t>Energy Fund Transfer</t>
  </si>
  <si>
    <t>Administrative Outreach Program</t>
  </si>
  <si>
    <t>Exec PB/SL Unused Paid</t>
  </si>
  <si>
    <t>TOTAL OTHER</t>
  </si>
  <si>
    <t>Elem Teach</t>
  </si>
  <si>
    <t>Jr. High</t>
  </si>
  <si>
    <t>Young 4</t>
  </si>
  <si>
    <t>At Risk</t>
  </si>
  <si>
    <t>Title I</t>
  </si>
  <si>
    <t>Library</t>
  </si>
  <si>
    <t>Sch Admin</t>
  </si>
  <si>
    <t>Food Serv</t>
  </si>
  <si>
    <t>Transp</t>
  </si>
  <si>
    <t>Aide Sal</t>
  </si>
  <si>
    <t>Aides Sal</t>
  </si>
  <si>
    <t>Ele Prn Sect</t>
  </si>
  <si>
    <t>JH Prn Secrt</t>
  </si>
  <si>
    <t>HS Prn Sect</t>
  </si>
  <si>
    <t>Aide Sal - Ele</t>
  </si>
  <si>
    <t>Cooks Sal - HS</t>
  </si>
  <si>
    <t>Cooks Sal - Ele</t>
  </si>
  <si>
    <t>Cust/Maint</t>
  </si>
  <si>
    <t>Bus Driv Sal</t>
  </si>
  <si>
    <t>Employee</t>
  </si>
  <si>
    <t>10132</t>
  </si>
  <si>
    <t>10370</t>
  </si>
  <si>
    <t>10422</t>
  </si>
  <si>
    <t>10494</t>
  </si>
  <si>
    <t>10680</t>
  </si>
  <si>
    <t>10788</t>
  </si>
  <si>
    <t>10790</t>
  </si>
  <si>
    <t>10792</t>
  </si>
  <si>
    <t>11179</t>
  </si>
  <si>
    <t>11180</t>
  </si>
  <si>
    <t>11177</t>
  </si>
  <si>
    <t>11178</t>
  </si>
  <si>
    <t>10838</t>
  </si>
  <si>
    <t>10898</t>
  </si>
  <si>
    <t>TOTAL</t>
  </si>
  <si>
    <t>Fazer, Doreen   (LONGEVITY)</t>
  </si>
  <si>
    <t>Gorzinski, Karen (LONGEVITY)</t>
  </si>
  <si>
    <t>Granquist, Cheri  (LONGEVITY)</t>
  </si>
  <si>
    <t>Hanchek, Robert   (LONGEVITY)</t>
  </si>
  <si>
    <t>50+50%</t>
  </si>
  <si>
    <t>Triest, Bonnie (LONGEVITY)</t>
  </si>
  <si>
    <t>SUPPORT</t>
  </si>
  <si>
    <t xml:space="preserve">RETIREMENT </t>
  </si>
  <si>
    <t>FICA</t>
  </si>
  <si>
    <t>Pay</t>
  </si>
  <si>
    <t>Degree</t>
  </si>
  <si>
    <t>Step</t>
  </si>
  <si>
    <t>SALARY</t>
  </si>
  <si>
    <t>BA</t>
  </si>
  <si>
    <t>BA+18</t>
  </si>
  <si>
    <t>Ekberg</t>
  </si>
  <si>
    <t>Cheryl</t>
  </si>
  <si>
    <t>Victoria</t>
  </si>
  <si>
    <t>MA</t>
  </si>
  <si>
    <t>Jessica</t>
  </si>
  <si>
    <t>Krieg</t>
  </si>
  <si>
    <t>Deanna</t>
  </si>
  <si>
    <t>MA+15</t>
  </si>
  <si>
    <t>LaBonte</t>
  </si>
  <si>
    <t>Larry</t>
  </si>
  <si>
    <t>Martin</t>
  </si>
  <si>
    <t>Sherry</t>
  </si>
  <si>
    <t>Snyder</t>
  </si>
  <si>
    <t>Stein</t>
  </si>
  <si>
    <t>Matt</t>
  </si>
  <si>
    <t>Tucker</t>
  </si>
  <si>
    <t>Elizabeth</t>
  </si>
  <si>
    <t>Veeser</t>
  </si>
  <si>
    <t>Elementary</t>
  </si>
  <si>
    <t>High School</t>
  </si>
  <si>
    <t>Spec Edu</t>
  </si>
  <si>
    <t>Voc Ed</t>
  </si>
  <si>
    <t>Counseling</t>
  </si>
  <si>
    <t>** 7 hours per day teaching</t>
  </si>
  <si>
    <t>Teach Sal</t>
  </si>
  <si>
    <t>Welding</t>
  </si>
  <si>
    <t>Couns Sal</t>
  </si>
  <si>
    <t>PROJ SAL</t>
  </si>
  <si>
    <t xml:space="preserve">PREM </t>
  </si>
  <si>
    <t>Employee       (w/hrs)</t>
  </si>
  <si>
    <t>Asn %</t>
  </si>
  <si>
    <t>Asn 10120</t>
  </si>
  <si>
    <t>Asn 10200</t>
  </si>
  <si>
    <t>Asn 10266</t>
  </si>
  <si>
    <t>Asn 10456</t>
  </si>
  <si>
    <t>Asn 10492</t>
  </si>
  <si>
    <t>Asn 10534</t>
  </si>
  <si>
    <t>Asn 10574</t>
  </si>
  <si>
    <t>Ekberg, Cheryl</t>
  </si>
  <si>
    <t>100%</t>
  </si>
  <si>
    <t>Krieg, Deanna</t>
  </si>
  <si>
    <t>Martin, Sherry</t>
  </si>
  <si>
    <t>Snyder, Victoria</t>
  </si>
  <si>
    <t xml:space="preserve">Stein, Matt    </t>
  </si>
  <si>
    <t>Veeser, Jessica</t>
  </si>
  <si>
    <t>INSTRUCTIONAL</t>
  </si>
  <si>
    <t>Employee                     ASN</t>
  </si>
  <si>
    <t>S</t>
  </si>
  <si>
    <t>2P</t>
  </si>
  <si>
    <t>F</t>
  </si>
  <si>
    <t>Family</t>
  </si>
  <si>
    <t>2-Person</t>
  </si>
  <si>
    <t>Single</t>
  </si>
  <si>
    <t>PAK B</t>
  </si>
  <si>
    <t>Elem</t>
  </si>
  <si>
    <t>PROJECTED BUDGET</t>
  </si>
  <si>
    <t>TOTAL ATHLETIC PROGRAM</t>
  </si>
  <si>
    <t>Purch Serv - Referees</t>
  </si>
  <si>
    <t>Purch Serv - Clocks</t>
  </si>
  <si>
    <t>Purch Serv - Books</t>
  </si>
  <si>
    <t>Athletic Meets Expense</t>
  </si>
  <si>
    <t>Misc Income - Athletic</t>
  </si>
  <si>
    <t>TOTAL ATHLETIC REVENUE</t>
  </si>
  <si>
    <t>TOTAL TAX REVENUE</t>
  </si>
  <si>
    <t>TOTAL INTEREST ON INVESTMENTS</t>
  </si>
  <si>
    <t>TOTAL MISC / REIMBURS</t>
  </si>
  <si>
    <t>TOTAL FEDERAL REVENUE</t>
  </si>
  <si>
    <t>Purch Serv - Gamesite Superv</t>
  </si>
  <si>
    <t>Asn 10408</t>
  </si>
  <si>
    <t xml:space="preserve"> </t>
  </si>
  <si>
    <t xml:space="preserve">Tucker, Elizabeth </t>
  </si>
  <si>
    <t>Hanchek, Robert (6)</t>
  </si>
  <si>
    <t>BUDGET</t>
  </si>
  <si>
    <t>Title II</t>
  </si>
  <si>
    <t>Property Tax Projections</t>
  </si>
  <si>
    <t>PROJECTED PROPERTY TAX BUDGET</t>
  </si>
  <si>
    <t>ASN 10004 Harris</t>
  </si>
  <si>
    <t>ASN 10008 Gourley</t>
  </si>
  <si>
    <t>ASN 10012 Meyer</t>
  </si>
  <si>
    <t>ASN 10016 Spalding</t>
  </si>
  <si>
    <t>State Aid Revenue Projections</t>
  </si>
  <si>
    <t>Three-Year Blended Count Details</t>
  </si>
  <si>
    <t>GE Std Blend</t>
  </si>
  <si>
    <t>SE Blend</t>
  </si>
  <si>
    <t>Count Blend</t>
  </si>
  <si>
    <t>Nov 2010 State Aid Status Report</t>
  </si>
  <si>
    <t>2009-2010 State Aid Cut</t>
  </si>
  <si>
    <t>2010-2011 State Aid Cut</t>
  </si>
  <si>
    <t>2011-2012 Projected Cut</t>
  </si>
  <si>
    <t>General Ed State Aid</t>
  </si>
  <si>
    <t>Prop A Obligation  22a</t>
  </si>
  <si>
    <t>NEW PROJECTED BUDGET</t>
  </si>
  <si>
    <t>Discretionary Payment  22b</t>
  </si>
  <si>
    <t>TOTAL GENERAL ED STATE AID</t>
  </si>
  <si>
    <t>ASN 10048</t>
  </si>
  <si>
    <t>ASN 10049</t>
  </si>
  <si>
    <t>NCAS paid</t>
  </si>
  <si>
    <t>Kyle</t>
  </si>
  <si>
    <t>2011-2012 (3-Yr BLENDED COUNT)</t>
  </si>
  <si>
    <t>2012-2013 (3-Yr BLENDED COUNT)</t>
  </si>
  <si>
    <t>REVENUES:</t>
  </si>
  <si>
    <t>TOTAL TITLE II EXPENSES</t>
  </si>
  <si>
    <t>Sect. 31     Retirement</t>
  </si>
  <si>
    <t>Sect. 31     Insurance</t>
  </si>
  <si>
    <t>Sect. 31     FICA</t>
  </si>
  <si>
    <t>Sect. 31     Travel - Conf</t>
  </si>
  <si>
    <t>Spec Ed     PB/SL Unused Pay</t>
  </si>
  <si>
    <t>Spec Ed     Aides Sal</t>
  </si>
  <si>
    <t>Spec Ed     Insurance</t>
  </si>
  <si>
    <t>Spec Ed     Retirement</t>
  </si>
  <si>
    <t>Spec Ed     FICA</t>
  </si>
  <si>
    <t>Spec Ed     Worker Compension</t>
  </si>
  <si>
    <t>Spec Ed     Travel / Local</t>
  </si>
  <si>
    <t>Spec Ed     Teach Sup / Mat</t>
  </si>
  <si>
    <t>Title II     Insurance</t>
  </si>
  <si>
    <t>Title II     Retirement</t>
  </si>
  <si>
    <t>Title II     FICA</t>
  </si>
  <si>
    <t>Insurance</t>
  </si>
  <si>
    <t>Retirement</t>
  </si>
  <si>
    <t>Worker Compensation</t>
  </si>
  <si>
    <t>Workers Compensation</t>
  </si>
  <si>
    <t>Unemployment</t>
  </si>
  <si>
    <t>Sub Aides Salary</t>
  </si>
  <si>
    <t>Sub Teachers Salary</t>
  </si>
  <si>
    <t>Aides Salary</t>
  </si>
  <si>
    <t>Extra Duty Pay</t>
  </si>
  <si>
    <t>Teachers Salary</t>
  </si>
  <si>
    <t>Travel - Local</t>
  </si>
  <si>
    <t>Teaching Supplies &amp; Materials</t>
  </si>
  <si>
    <t>Consumable Student Materials</t>
  </si>
  <si>
    <t>Textbooks</t>
  </si>
  <si>
    <t>Misc Supply Expense</t>
  </si>
  <si>
    <t>Sub Teachers</t>
  </si>
  <si>
    <t>PB/SL Unused Pay</t>
  </si>
  <si>
    <t>Extra Duty Salary</t>
  </si>
  <si>
    <t>Driver Ed Extra Duty Salary</t>
  </si>
  <si>
    <t>PB/SL Unused Days Paid</t>
  </si>
  <si>
    <t>Misc Suplies &amp; Materials</t>
  </si>
  <si>
    <t>Student Tuition / Bay College</t>
  </si>
  <si>
    <t>Title I     Teachers Salary</t>
  </si>
  <si>
    <t>Title I     Aides Salary</t>
  </si>
  <si>
    <t>Title I     Sub Aides Salary</t>
  </si>
  <si>
    <t>Title I     Insurance</t>
  </si>
  <si>
    <t>Title I     Retirement</t>
  </si>
  <si>
    <t>Title I     FICA</t>
  </si>
  <si>
    <t>Sect. 31     Teachers Salary</t>
  </si>
  <si>
    <t>Sect. 31     Aides Salary</t>
  </si>
  <si>
    <t>Sect. 31     Sub Aides Sal</t>
  </si>
  <si>
    <t>Spec Ed     Teachers Salary</t>
  </si>
  <si>
    <t>Spec Ed     Sub Aides Salary</t>
  </si>
  <si>
    <t>Spec Ed     Sub Teachers Salary</t>
  </si>
  <si>
    <t>Title II     Aides Salary</t>
  </si>
  <si>
    <t>Counselors Salary</t>
  </si>
  <si>
    <t>Supplies &amp; Materials</t>
  </si>
  <si>
    <t>Periodicals &amp; Newspapers</t>
  </si>
  <si>
    <t>Other Supplies &amp; Materials</t>
  </si>
  <si>
    <t>Board of Education Salary</t>
  </si>
  <si>
    <t>Board Travel &amp; Conference Exp</t>
  </si>
  <si>
    <t>Board Supplies &amp; Materials</t>
  </si>
  <si>
    <t xml:space="preserve">Board Dues &amp; Fees </t>
  </si>
  <si>
    <t>Superintendent Salary</t>
  </si>
  <si>
    <t>Exec Administrative Assistant Salary</t>
  </si>
  <si>
    <t>Exec Admin  Sub Salary</t>
  </si>
  <si>
    <t xml:space="preserve">Legal Services </t>
  </si>
  <si>
    <t>Election Costs</t>
  </si>
  <si>
    <t>Audit Costs</t>
  </si>
  <si>
    <t>Telephone</t>
  </si>
  <si>
    <t>Mailing &amp; Postage</t>
  </si>
  <si>
    <t xml:space="preserve">Dues &amp; Fees </t>
  </si>
  <si>
    <t>Office Supplies</t>
  </si>
  <si>
    <t>Misc Supplies &amp; Materials</t>
  </si>
  <si>
    <t>Insurance &amp; Bonds</t>
  </si>
  <si>
    <t>Advertising</t>
  </si>
  <si>
    <t>Elem Principal Salary</t>
  </si>
  <si>
    <t>Admin PB/SL Unused Pay</t>
  </si>
  <si>
    <t>Principal Temp Sub Salary</t>
  </si>
  <si>
    <t>Insurance Principal</t>
  </si>
  <si>
    <t>Telephone Expense</t>
  </si>
  <si>
    <t>Postage</t>
  </si>
  <si>
    <t>Dues &amp; Fees</t>
  </si>
  <si>
    <t>Junior High          Principal Sal</t>
  </si>
  <si>
    <t>High School        Principal Sal</t>
  </si>
  <si>
    <t>Secretary Sub Salary</t>
  </si>
  <si>
    <t>High School       Secretary Salary</t>
  </si>
  <si>
    <t>Junior High         Secretary Salary</t>
  </si>
  <si>
    <t>Elem Secretary Salary</t>
  </si>
  <si>
    <t>Sub Salary        Principal</t>
  </si>
  <si>
    <t>Sub Salary        Secretary</t>
  </si>
  <si>
    <t>Insurance          Principal</t>
  </si>
  <si>
    <t xml:space="preserve">Telephone </t>
  </si>
  <si>
    <t>Interest Expense on Cash Flow Loan</t>
  </si>
  <si>
    <t>Sub Salary</t>
  </si>
  <si>
    <t>Insurance    Custodial / Maint</t>
  </si>
  <si>
    <t>Insurance    Custodial / Maint - Admin</t>
  </si>
  <si>
    <t xml:space="preserve">Contracted Services </t>
  </si>
  <si>
    <t>Heat Fuel          Elem</t>
  </si>
  <si>
    <t>Heat Fuel          H.S. Bldg</t>
  </si>
  <si>
    <t>Heat Fuel          Voc Ed Bldg</t>
  </si>
  <si>
    <t>Electricity         Elem</t>
  </si>
  <si>
    <t>Electricity         Warehouse</t>
  </si>
  <si>
    <t>Electricity         H.S. Bldg</t>
  </si>
  <si>
    <t>Electricity         Voc Ed Bldg</t>
  </si>
  <si>
    <t>Electricity         Athletic Field</t>
  </si>
  <si>
    <t>Bus Supervisor Salary</t>
  </si>
  <si>
    <t>Bus Drivers Salary</t>
  </si>
  <si>
    <t>Bus Maintenance Salary</t>
  </si>
  <si>
    <t>Bus Driver Sub Salary</t>
  </si>
  <si>
    <t>Athletic Trips Salary</t>
  </si>
  <si>
    <t>Special Trips Salary</t>
  </si>
  <si>
    <t>Insurance       Transp</t>
  </si>
  <si>
    <t>Insurance       Transp / Admin</t>
  </si>
  <si>
    <t>Local Travel Expense</t>
  </si>
  <si>
    <t>Bus Driver Workshop Expense</t>
  </si>
  <si>
    <t>Labor Repairs &amp; Maintenance</t>
  </si>
  <si>
    <t>Two-Way Radio / Pager Service</t>
  </si>
  <si>
    <t>Electricity - Bus Garage</t>
  </si>
  <si>
    <t>Coaches Salary</t>
  </si>
  <si>
    <t>Travel &amp; Conference Expenses</t>
  </si>
  <si>
    <t>Athletic Supplies &amp; Materials</t>
  </si>
  <si>
    <t>EST Retirement Rate</t>
  </si>
  <si>
    <t>Thomann</t>
  </si>
  <si>
    <t>Thomas</t>
  </si>
  <si>
    <t>Westphal</t>
  </si>
  <si>
    <t>Emily</t>
  </si>
  <si>
    <t xml:space="preserve">Durow, Kyle   </t>
  </si>
  <si>
    <t>LaBonte, Lawrence</t>
  </si>
  <si>
    <t>Thomann, Thomas</t>
  </si>
  <si>
    <t>Westphal, Emily</t>
  </si>
  <si>
    <t>FY 2013 Foundation</t>
  </si>
  <si>
    <t>2012-2013 Projected Increase</t>
  </si>
  <si>
    <t>PROPOSED</t>
  </si>
  <si>
    <t>2013-2014 (3-Yr BLENDED COUNT)</t>
  </si>
  <si>
    <t>PROJECTIONS</t>
  </si>
  <si>
    <t>Insurance          Secretary</t>
  </si>
  <si>
    <t>NORTH CENTRAL      SALARY PROJECTIONS</t>
  </si>
  <si>
    <t>BS</t>
  </si>
  <si>
    <t>Principal Extra Pay  (JB)</t>
  </si>
  <si>
    <t>Sect. 31     Misc / Teach Sup - Mat</t>
  </si>
  <si>
    <t>RESOLUTION FOR ADOPTION BY THE BOARD OF EDUCATION OF</t>
  </si>
  <si>
    <t>Local</t>
  </si>
  <si>
    <t>State</t>
  </si>
  <si>
    <t>Federal</t>
  </si>
  <si>
    <t>Other Sources</t>
  </si>
  <si>
    <t>Total Revenue</t>
  </si>
  <si>
    <t>EXPENDITURES:</t>
  </si>
  <si>
    <t>Instruction:</t>
  </si>
  <si>
    <t>Basic Programs</t>
  </si>
  <si>
    <t>Added Needs</t>
  </si>
  <si>
    <t>Support Services:</t>
  </si>
  <si>
    <t>Pupil Support Services</t>
  </si>
  <si>
    <t>Board of Education</t>
  </si>
  <si>
    <t>Executive Administration</t>
  </si>
  <si>
    <t>School Administration</t>
  </si>
  <si>
    <t>Business Services</t>
  </si>
  <si>
    <t>Operations and Maintenance</t>
  </si>
  <si>
    <t>Transportation</t>
  </si>
  <si>
    <t>Information Management Services</t>
  </si>
  <si>
    <t>Athletics</t>
  </si>
  <si>
    <t>Building Improvments &amp; Equipment</t>
  </si>
  <si>
    <t>Transfers to other funds</t>
  </si>
  <si>
    <t>Total Expenditures</t>
  </si>
  <si>
    <t>Revenue over Expenses</t>
  </si>
  <si>
    <t>NORTH CENTRAL AREA SCHOOLS</t>
  </si>
  <si>
    <t>Sect. 31     Sub Teacher Sal</t>
  </si>
  <si>
    <t>Monthly MEDICAL</t>
  </si>
  <si>
    <t>Monthly OTHER  (100%)</t>
  </si>
  <si>
    <t>FY Amount</t>
  </si>
  <si>
    <t>Insurance Secretary</t>
  </si>
  <si>
    <t>Sect. 31     Transfer Food Service</t>
  </si>
  <si>
    <t>Transfer Bkfst   At-Risk</t>
  </si>
  <si>
    <t>Wright</t>
  </si>
  <si>
    <t>Teresa</t>
  </si>
  <si>
    <t>Wright, Teresa</t>
  </si>
  <si>
    <t>Aide Sal - HS</t>
  </si>
  <si>
    <t>Counceling</t>
  </si>
  <si>
    <t>2014-2015</t>
  </si>
  <si>
    <t>2013-2014 Projected Increase</t>
  </si>
  <si>
    <t>2014-2015 Projected Increase</t>
  </si>
  <si>
    <t>Retirement (UAAL Rate Stabilization)</t>
  </si>
  <si>
    <t>Salary EXPENSES:</t>
  </si>
  <si>
    <t>MS</t>
  </si>
  <si>
    <t>HS</t>
  </si>
  <si>
    <t>Exec Admin</t>
  </si>
  <si>
    <t>Princ - HS</t>
  </si>
  <si>
    <t>Princ - ELE</t>
  </si>
  <si>
    <t>Athl</t>
  </si>
  <si>
    <t>NCAS     UAAL</t>
  </si>
  <si>
    <t>Revenue:  ASN 10105</t>
  </si>
  <si>
    <t>Spec Ed</t>
  </si>
  <si>
    <t>Counc</t>
  </si>
  <si>
    <t>Custod</t>
  </si>
  <si>
    <t>2014-2015 (3-Yr BLENDED COUNT)</t>
  </si>
  <si>
    <t>Contract Technology Service</t>
  </si>
  <si>
    <t>Spec Ed     Extra Duty</t>
  </si>
  <si>
    <t>**2015-2016**</t>
  </si>
  <si>
    <t>Debelak</t>
  </si>
  <si>
    <t>Dorothy</t>
  </si>
  <si>
    <t>Jenkins</t>
  </si>
  <si>
    <t>Tiffany</t>
  </si>
  <si>
    <t>Proksch</t>
  </si>
  <si>
    <t>Debelak, Dorothy</t>
  </si>
  <si>
    <t>Jenkins, Tiffany</t>
  </si>
  <si>
    <t>Proksch, Cheryl</t>
  </si>
  <si>
    <t>2015-2016 (3-Yr BLENDED COUNT)</t>
  </si>
  <si>
    <t>GSRP Transportation (ISD)</t>
  </si>
  <si>
    <t>2015-2016</t>
  </si>
  <si>
    <t>Bd Paid Annuity</t>
  </si>
  <si>
    <t>Tuition Reimbursement</t>
  </si>
  <si>
    <t>Contracted Serv - NC Times</t>
  </si>
  <si>
    <t>Difference from what Bond cannot cover</t>
  </si>
  <si>
    <t>Every other yr (2016,18,20)</t>
  </si>
  <si>
    <t>UAAL Rate Stabil</t>
  </si>
  <si>
    <t>One Time Liab</t>
  </si>
  <si>
    <t>Drivers Ed Reimbursement</t>
  </si>
  <si>
    <t>TOTAL AT-RISK / SECT. 31-A (Carryover)</t>
  </si>
  <si>
    <t>Clarkston, Julie</t>
  </si>
  <si>
    <t>Dubord, Brittany</t>
  </si>
  <si>
    <t>DuBord</t>
  </si>
  <si>
    <t>Brittany</t>
  </si>
  <si>
    <t>Hongisto, Tricia</t>
  </si>
  <si>
    <t>Hongisto</t>
  </si>
  <si>
    <t>Tricia</t>
  </si>
  <si>
    <t>BA +18</t>
  </si>
  <si>
    <t>Rinne</t>
  </si>
  <si>
    <t>William</t>
  </si>
  <si>
    <t>Rinne, William</t>
  </si>
  <si>
    <t>State Championship Expenses</t>
  </si>
  <si>
    <t>State Championship Donations</t>
  </si>
  <si>
    <t>Title I     Sub Teachers &amp; Tutor Salary</t>
  </si>
  <si>
    <t>Sect. 31     Misc  (inc c/o bal remaining)</t>
  </si>
  <si>
    <t>Insurance Damage Reimbursement</t>
  </si>
  <si>
    <t>Stipend for Coach</t>
  </si>
  <si>
    <t>2-P</t>
  </si>
  <si>
    <t>**2016-2017**</t>
  </si>
  <si>
    <t>2016-2017</t>
  </si>
  <si>
    <t>2016-2017 (3-Yr BLENDED COUNT)</t>
  </si>
  <si>
    <t>Ele Admin</t>
  </si>
  <si>
    <t>JH/HS Admin</t>
  </si>
  <si>
    <t>HS - JH</t>
  </si>
  <si>
    <t>Ex Admin</t>
  </si>
  <si>
    <t>Sect</t>
  </si>
  <si>
    <t>Admin</t>
  </si>
  <si>
    <t>25-297</t>
  </si>
  <si>
    <t>25-298</t>
  </si>
  <si>
    <t xml:space="preserve">Taxes &amp; </t>
  </si>
  <si>
    <t>Opt PR</t>
  </si>
  <si>
    <t>Premium</t>
  </si>
  <si>
    <t>GRAND</t>
  </si>
  <si>
    <t>Fees</t>
  </si>
  <si>
    <t>Deduct</t>
  </si>
  <si>
    <t>MEDICAL ONLY</t>
  </si>
  <si>
    <t>Dental</t>
  </si>
  <si>
    <t>VSP 2-F</t>
  </si>
  <si>
    <t>VSP 2-2P</t>
  </si>
  <si>
    <t>VSP 2-S</t>
  </si>
  <si>
    <t>Marsicek, Lois</t>
  </si>
  <si>
    <t>Maule, Deborah</t>
  </si>
  <si>
    <t>OTHER 100% PAID</t>
  </si>
  <si>
    <t>Tapio, Bruce</t>
  </si>
  <si>
    <t>Harter, Brett    (75-25%)</t>
  </si>
  <si>
    <t>Granquist, Wendy</t>
  </si>
  <si>
    <t>ADMINISTRATIVE</t>
  </si>
  <si>
    <t>EmployER Paid</t>
  </si>
  <si>
    <t>EmployEE Paid</t>
  </si>
  <si>
    <t>GRAND TOTALS</t>
  </si>
  <si>
    <t>CAP</t>
  </si>
  <si>
    <t>PD Conference / Travel</t>
  </si>
  <si>
    <t>Contracted Services (Bus Drivers)</t>
  </si>
  <si>
    <t>New Scale</t>
  </si>
  <si>
    <t>Beauchamp</t>
  </si>
  <si>
    <t>Sally</t>
  </si>
  <si>
    <t>Durow</t>
  </si>
  <si>
    <t>Martell</t>
  </si>
  <si>
    <t>Anna</t>
  </si>
  <si>
    <t>New</t>
  </si>
  <si>
    <t>Beauchamp, Sally</t>
  </si>
  <si>
    <t>Martell, Anna</t>
  </si>
  <si>
    <t>Strand, Dianne</t>
  </si>
  <si>
    <t>El Grant - Teacher Sal</t>
  </si>
  <si>
    <t>El Grant - Aide Sal</t>
  </si>
  <si>
    <t>El Grant - Retirement</t>
  </si>
  <si>
    <t>El Grant - FICA</t>
  </si>
  <si>
    <t>HS       Milk Sales</t>
  </si>
  <si>
    <t>Elem    Milk Sales</t>
  </si>
  <si>
    <t>Eichmeier</t>
  </si>
  <si>
    <t>Jennifer</t>
  </si>
  <si>
    <t>Eichmeier, Jennifer</t>
  </si>
  <si>
    <t>Poupore, S        (8)</t>
  </si>
  <si>
    <t>2017-2018</t>
  </si>
  <si>
    <t>Estimated $100 increase</t>
  </si>
  <si>
    <t>**2017-2018**</t>
  </si>
  <si>
    <t>No Step</t>
  </si>
  <si>
    <t>NCAS      STATE AID PROJECTIONS</t>
  </si>
  <si>
    <t>Sect. 31     PB/Sick Unused Days</t>
  </si>
  <si>
    <t>Misc Income</t>
  </si>
  <si>
    <t>Exec Admin  Extra Duty/OT Salary</t>
  </si>
  <si>
    <t>Conf Reg / Mileage</t>
  </si>
  <si>
    <t>Teach Supplies</t>
  </si>
  <si>
    <t>Voc ED Teacher Sal</t>
  </si>
  <si>
    <t>Voc Ed Director Sal</t>
  </si>
  <si>
    <t>=</t>
  </si>
  <si>
    <t>Conference Exp</t>
  </si>
  <si>
    <t>42+58%</t>
  </si>
  <si>
    <t>25+75%</t>
  </si>
  <si>
    <t>Owens, Michele</t>
  </si>
  <si>
    <t>17+41+42%</t>
  </si>
  <si>
    <t>75+25%</t>
  </si>
  <si>
    <t>Whitens</t>
  </si>
  <si>
    <t>Gerald</t>
  </si>
  <si>
    <t>Whitens, Gerald</t>
  </si>
  <si>
    <t>Asn 10536</t>
  </si>
  <si>
    <t>Director</t>
  </si>
  <si>
    <t>ATH</t>
  </si>
  <si>
    <t>Coach</t>
  </si>
  <si>
    <t>Asn 10956</t>
  </si>
  <si>
    <t>Voc Ed Insurance</t>
  </si>
  <si>
    <t>Voc Ed Emp Retirement</t>
  </si>
  <si>
    <t>Vod Ed Emplr Fica</t>
  </si>
  <si>
    <t>Voc Ed Family &amp; Consumer Sci</t>
  </si>
  <si>
    <t>Voc Ed Teaching Supplies &amp; Materials</t>
  </si>
  <si>
    <t>Previous YR ACTUAL</t>
  </si>
  <si>
    <t>Property Tax Chargeback</t>
  </si>
  <si>
    <t>147a(2)   MPSERS Normal Cost Offset</t>
  </si>
  <si>
    <t>147c(2)   MPSERS One Time Deposit</t>
  </si>
  <si>
    <t>147c(1)   MPSERS UAAL Rate Stabiliz</t>
  </si>
  <si>
    <t>31A        At Risk</t>
  </si>
  <si>
    <t>31A        At Risk   c/o</t>
  </si>
  <si>
    <r>
      <t xml:space="preserve">99h        First Robotics </t>
    </r>
    <r>
      <rPr>
        <sz val="8"/>
        <rFont val="Arial"/>
        <family val="2"/>
      </rPr>
      <t>(Mth/Sci/Techn)</t>
    </r>
  </si>
  <si>
    <t>At-Risk</t>
  </si>
  <si>
    <t>Ammel, Sandra  (2.5+4.5+1 = 8)</t>
  </si>
  <si>
    <t>Davis, M  (5.5)</t>
  </si>
  <si>
    <t>Delliss, Carri   (5.5)</t>
  </si>
  <si>
    <t>Dombrowski, D   (4.5+.5 = 5)</t>
  </si>
  <si>
    <t>Gorzinski, Karen (6.5)</t>
  </si>
  <si>
    <t>Granquist, Cheri  (6.5)</t>
  </si>
  <si>
    <t>F/S</t>
  </si>
  <si>
    <t>PkB-F</t>
  </si>
  <si>
    <t>Adams, Anthony</t>
  </si>
  <si>
    <t>Overspent</t>
  </si>
  <si>
    <t>TOTAL EARLY LITERACY EXPENSES (w-c/o)</t>
  </si>
  <si>
    <t>TEACHERS ONLY:  INSURANCE has summer spread (effective Sept - Aug)</t>
  </si>
  <si>
    <t>2018-19</t>
  </si>
  <si>
    <t>2017-2018 (NO BLEND)</t>
  </si>
  <si>
    <t>TOTAL STATE REVENUE (UNRESTRICTED)</t>
  </si>
  <si>
    <t>TOTAL STATE REVENUE (RESTRICTED)</t>
  </si>
  <si>
    <t>Revenue:  ASN 10103</t>
  </si>
  <si>
    <t>reclass to 10882 if needed</t>
  </si>
  <si>
    <t>Title I     Leveled Readers Gr EK-6</t>
  </si>
  <si>
    <t>Title I     Consumables</t>
  </si>
  <si>
    <t>Title I     ParNight Supplies</t>
  </si>
  <si>
    <t>Title I     Indirect Costs</t>
  </si>
  <si>
    <t>Indirect cost offset (TI &amp; TII)</t>
  </si>
  <si>
    <t>2018-2019</t>
  </si>
  <si>
    <t>147e      MPSERS Reforms - Defined Contrib</t>
  </si>
  <si>
    <t>Misc Suppl / Exp</t>
  </si>
  <si>
    <t>NCAS   STAFF     MESSA  CHOICES II (CAP)     2018-19</t>
  </si>
  <si>
    <r>
      <t xml:space="preserve">2018-2019     </t>
    </r>
    <r>
      <rPr>
        <sz val="30"/>
        <rFont val="Arial"/>
        <family val="2"/>
      </rPr>
      <t>NCAS</t>
    </r>
    <r>
      <rPr>
        <b/>
        <sz val="30"/>
        <rFont val="Arial"/>
        <family val="2"/>
      </rPr>
      <t xml:space="preserve">       CAP     </t>
    </r>
    <r>
      <rPr>
        <sz val="30"/>
        <rFont val="Arial"/>
        <family val="2"/>
      </rPr>
      <t>MESSA SUPPORT BUDGET</t>
    </r>
  </si>
  <si>
    <t>2019-2020</t>
  </si>
  <si>
    <t>2019-20 vs</t>
  </si>
  <si>
    <t>Cocco</t>
  </si>
  <si>
    <t>Tessa</t>
  </si>
  <si>
    <t>Daniel</t>
  </si>
  <si>
    <t>McDougall</t>
  </si>
  <si>
    <t>Sarah</t>
  </si>
  <si>
    <t>incl Teacher, Voc Ed Dir, Addt'l Prep Hr</t>
  </si>
  <si>
    <t>Resigned</t>
  </si>
  <si>
    <t>Consumables</t>
  </si>
  <si>
    <t xml:space="preserve">Team Supplies/Materials </t>
  </si>
  <si>
    <t>Title I     Aides Salary  (Parent N)</t>
  </si>
  <si>
    <t>TOTAL TITLE IV EXPENSES</t>
  </si>
  <si>
    <t>Title IV    Retirement</t>
  </si>
  <si>
    <t>Title IV    FICA</t>
  </si>
  <si>
    <t xml:space="preserve">Property Taxes (from State Aid) </t>
  </si>
  <si>
    <t>BLEND</t>
  </si>
  <si>
    <t>HV Grant -  Textbooks</t>
  </si>
  <si>
    <t>Pavlat, S      (1.25+6+.5 = 7.75)</t>
  </si>
  <si>
    <t>Revenue is $43,773</t>
  </si>
  <si>
    <t>Insurance through Nov18</t>
  </si>
  <si>
    <t>Bellmore, J   (6)</t>
  </si>
  <si>
    <t>Chartier, D</t>
  </si>
  <si>
    <t>No Insurance</t>
  </si>
  <si>
    <t>Fazer, Doreen (1.5 + 5 + 1.5 =8)</t>
  </si>
  <si>
    <t>2P / S</t>
  </si>
  <si>
    <t>2-P = July&amp;Aug (2 mo), Single = Sept-Jun (10 mo)</t>
  </si>
  <si>
    <t>Hanchek, Sandy (4+2+2 = 8)</t>
  </si>
  <si>
    <t xml:space="preserve">Harper, Aaron </t>
  </si>
  <si>
    <t>2-P = Nov-June (8 months)</t>
  </si>
  <si>
    <t>McCarthy, M</t>
  </si>
  <si>
    <t>PkB-2P</t>
  </si>
  <si>
    <t>Triest, Bonnie (6.50)</t>
  </si>
  <si>
    <r>
      <t xml:space="preserve">Title IV - SSAE </t>
    </r>
    <r>
      <rPr>
        <sz val="8"/>
        <rFont val="Arial"/>
        <family val="2"/>
      </rPr>
      <t>(Student Support-Academic Enrichment)</t>
    </r>
  </si>
  <si>
    <t>Title IV    WIN Group Exp</t>
  </si>
  <si>
    <t>Local Comm. Stabilization Share Dist.</t>
  </si>
  <si>
    <t>Contracted Ser. (HS) Michigan Virtual</t>
  </si>
  <si>
    <t>HV Grant - First Robotics Program</t>
  </si>
  <si>
    <t>Title I     Coach</t>
  </si>
  <si>
    <t>Voc Ed Emplr Wk Comp</t>
  </si>
  <si>
    <t>Technology/Office Assist Salary</t>
  </si>
  <si>
    <t>Athletic Director Salary</t>
  </si>
  <si>
    <t>Retiree Pay (CE)</t>
  </si>
  <si>
    <t xml:space="preserve">Title IV    Classroom Furniture </t>
  </si>
  <si>
    <t>Title IV    Reading Intervention K-5</t>
  </si>
  <si>
    <t>Title IV    Math Group Supplies</t>
  </si>
  <si>
    <t>Contracted Serv - Bus Serv/Mentor</t>
  </si>
  <si>
    <t>Inc longevity ($800)</t>
  </si>
  <si>
    <t>Voc Ed Sub Teacher Sal</t>
  </si>
  <si>
    <t>Travel/Phone Expenses</t>
  </si>
  <si>
    <t>Travel Phone Expense</t>
  </si>
  <si>
    <t>Tx Paybacks, Fee / Penalties</t>
  </si>
  <si>
    <t>51f          Special Ed Cost Reimb.</t>
  </si>
  <si>
    <t>HS Food Serv - Equip/Furn</t>
  </si>
  <si>
    <t>HS Food Ser- Kit Equip Repair</t>
  </si>
  <si>
    <t>Sect. 31     At-Risk Counselor</t>
  </si>
  <si>
    <t>Robitics Reg</t>
  </si>
  <si>
    <t>Sale of School Property</t>
  </si>
  <si>
    <t>Emp. Unemply.</t>
  </si>
  <si>
    <t>Unanticipated Sch</t>
  </si>
  <si>
    <t>Covid Ins</t>
  </si>
  <si>
    <t>Cooks Covid</t>
  </si>
  <si>
    <t>Bus Covid</t>
  </si>
  <si>
    <t>Covid Retir</t>
  </si>
  <si>
    <t>FICA Covid</t>
  </si>
  <si>
    <t>Covid Food Supplies</t>
  </si>
  <si>
    <t>Covid Non Food Supplies</t>
  </si>
  <si>
    <t>2020-2021</t>
  </si>
  <si>
    <t>Esser - CARES Act</t>
  </si>
  <si>
    <t>H.S. Retiree Pay</t>
  </si>
  <si>
    <t>Teacher</t>
  </si>
  <si>
    <t>Other Taxes (CFR)</t>
  </si>
  <si>
    <t>Carney Voc Ed Reimb</t>
  </si>
  <si>
    <t>Retiree Pay</t>
  </si>
  <si>
    <t>Title I     Reading A-Z</t>
  </si>
  <si>
    <t>Title IV    RTI/PBIS/MTSS Supplies</t>
  </si>
  <si>
    <t>Title IV   Book Sets</t>
  </si>
  <si>
    <t>SetSeg WC/PC Reimbursement</t>
  </si>
  <si>
    <t>Hannahville Grant -  First Robotics (c/o bal)</t>
  </si>
  <si>
    <t>Boss Kids Grant</t>
  </si>
  <si>
    <t>35a(5)    Early Literacy Targeted Instr</t>
  </si>
  <si>
    <t>Boss Kid Grant</t>
  </si>
  <si>
    <t>Teaching Supplies EL</t>
  </si>
  <si>
    <t>Misc Supplies &amp; Materials EL</t>
  </si>
  <si>
    <r>
      <t xml:space="preserve">Title I     Staff Stipends  </t>
    </r>
    <r>
      <rPr>
        <sz val="8"/>
        <rFont val="Arial"/>
        <family val="2"/>
      </rPr>
      <t>(Math Int)</t>
    </r>
  </si>
  <si>
    <t>Title I     WIN Small Group</t>
  </si>
  <si>
    <t>Title I     Scholastic Bookflix</t>
  </si>
  <si>
    <t>Title II     Stipends PD</t>
  </si>
  <si>
    <t>2021-2022</t>
  </si>
  <si>
    <t>ESSER - II FUNDS</t>
  </si>
  <si>
    <t>Library Media Specialist Salary</t>
  </si>
  <si>
    <t>Library Sub Media Specialist Salary</t>
  </si>
  <si>
    <t>Cust/Maint Supervisor Salary</t>
  </si>
  <si>
    <t>Little Jet's     Director Salary</t>
  </si>
  <si>
    <t>Little Jet's     Teachers Salary</t>
  </si>
  <si>
    <t>Little Jets Child Care Fees</t>
  </si>
  <si>
    <t>Little Jet's     Sub Teachers Salary</t>
  </si>
  <si>
    <t>Little Jet's     Sub Aides Salary</t>
  </si>
  <si>
    <t>Little Jet's     Insurance</t>
  </si>
  <si>
    <t xml:space="preserve">Little Jet's     Retirement </t>
  </si>
  <si>
    <t>Little Jet's     FICA</t>
  </si>
  <si>
    <t>Little Jet's     Travel / Local</t>
  </si>
  <si>
    <t>Little Jet's     Travel / Conf</t>
  </si>
  <si>
    <t>Little Jet's     Teach Sup / Mat</t>
  </si>
  <si>
    <t>Little Jet's     Misc Sup / Mat</t>
  </si>
  <si>
    <t>ESSER - III FUNDS</t>
  </si>
  <si>
    <t>Vocational Ed Donation/Marshall Plan</t>
  </si>
  <si>
    <t>Hannahville Grant -  T Mokszycke - Class Grant</t>
  </si>
  <si>
    <t>MCISD SEL-Curriculum Reimb.</t>
  </si>
  <si>
    <t>MCISD SEL Curriculum</t>
  </si>
  <si>
    <t>Voc Ed. Donations/Marshall Plan Exp</t>
  </si>
  <si>
    <t xml:space="preserve">HV Grant -  T Mokszycke Elem Class </t>
  </si>
  <si>
    <t>TOTAL MISCELLANEOUS GRANT/REBATE EXPENSES</t>
  </si>
  <si>
    <r>
      <t xml:space="preserve">2019-2020     ACTUAL
 </t>
    </r>
    <r>
      <rPr>
        <b/>
        <u/>
        <sz val="10"/>
        <rFont val="Arial"/>
        <family val="2"/>
      </rPr>
      <t>Budget</t>
    </r>
  </si>
  <si>
    <t>%</t>
  </si>
  <si>
    <t>ORIGINAL</t>
  </si>
  <si>
    <t>23b(2)d  Innovative Summer Programs</t>
  </si>
  <si>
    <t>Director of Student Services</t>
  </si>
  <si>
    <t>Contracted Services (Edustaff Subs)</t>
  </si>
  <si>
    <t xml:space="preserve">Spec Ed.    Aides Contracted Services Edustaff </t>
  </si>
  <si>
    <t>TOTAL ESSER - II Act</t>
  </si>
  <si>
    <t>TOTAL ESSER III</t>
  </si>
  <si>
    <t>Title I     Acadience Benchmark</t>
  </si>
  <si>
    <t>Tech Hardware &amp; Software</t>
  </si>
  <si>
    <t>Projected Fund Balance</t>
  </si>
  <si>
    <t>FUND BALANCE - July 1, 2021</t>
  </si>
  <si>
    <t>FINAL REVISED</t>
  </si>
  <si>
    <t>Hannahville Grant -  STEM Class</t>
  </si>
  <si>
    <t>104 a/h Benchmark Assessment</t>
  </si>
  <si>
    <t>Hannahville Grant - Stem Grant</t>
  </si>
  <si>
    <t>Little Jet's     Contracted Aide</t>
  </si>
  <si>
    <t>Little Jet's     Aides Salary</t>
  </si>
  <si>
    <t>Curriculum</t>
  </si>
  <si>
    <t>Title II     Math Recovery Conference Exp</t>
  </si>
  <si>
    <t>Title II     Staff Stipends Differentiated Reating</t>
  </si>
  <si>
    <t>Title IV    Voyager Sopris</t>
  </si>
  <si>
    <t>HS Food Serv- Contracted Serv Staff</t>
  </si>
  <si>
    <t>Prior Year Adjustment</t>
  </si>
  <si>
    <t>JUNE REVISED</t>
  </si>
  <si>
    <t>Pandemic EBT Local Level Cost</t>
  </si>
  <si>
    <t>2022-2023</t>
  </si>
  <si>
    <t>2022-23</t>
  </si>
  <si>
    <t>Bridge Building Competition Expense</t>
  </si>
  <si>
    <t>Projected Year End Fund Balance</t>
  </si>
  <si>
    <t>NORTH CENTRAL        Instructional SALARY  BREAKDOWN              2022-2023</t>
  </si>
  <si>
    <t>Esser II</t>
  </si>
  <si>
    <t>Asn 10980</t>
  </si>
  <si>
    <t>Barnhart, Mary</t>
  </si>
  <si>
    <t>Barron, Tim</t>
  </si>
  <si>
    <t>Anderson, Sara</t>
  </si>
  <si>
    <t>Esser III</t>
  </si>
  <si>
    <t>Physical Ed Teacher (New)</t>
  </si>
  <si>
    <t>Farnsworth, Scott</t>
  </si>
  <si>
    <t>Granquist, Brooke</t>
  </si>
  <si>
    <t>Hahn, Kristin</t>
  </si>
  <si>
    <t>Mokszycke, Tami</t>
  </si>
  <si>
    <t>Olson, Sarah</t>
  </si>
  <si>
    <t>Pirlot, Jamie</t>
  </si>
  <si>
    <t>Reynolds, Heidi</t>
  </si>
  <si>
    <t>Maraccini, Marcus</t>
  </si>
  <si>
    <t>40+60%</t>
  </si>
  <si>
    <t>Seymour, Scott</t>
  </si>
  <si>
    <t>20+80%</t>
  </si>
  <si>
    <t>Shewmaker, Karol</t>
  </si>
  <si>
    <t>Veeser, Barbara</t>
  </si>
  <si>
    <t>91.373+8.627%</t>
  </si>
  <si>
    <t>80+20%</t>
  </si>
  <si>
    <t>Chartier, Danielle</t>
  </si>
  <si>
    <t>Day Care</t>
  </si>
  <si>
    <t>2022-2023    NCAS           Support SALARY  BREAKDOWN</t>
  </si>
  <si>
    <t xml:space="preserve">Based on 185 days </t>
  </si>
  <si>
    <t>Bellefeuil, Lindsey (.5 + 3.5= 4)</t>
  </si>
  <si>
    <t>Bellmore, Jalaine (6 + 1 = 7)</t>
  </si>
  <si>
    <t>Bellmore, Jalaine (LONGEVITY)</t>
  </si>
  <si>
    <t>Dombrowski, D   (5.0+2.0 = 7)</t>
  </si>
  <si>
    <t>Dombrowski, Donna (LONGEVITY)</t>
  </si>
  <si>
    <t>Fazer, Doreen (8)</t>
  </si>
  <si>
    <t>Granquist, Cheri  (8.0)</t>
  </si>
  <si>
    <t>Hanchek, Robert (6.5)</t>
  </si>
  <si>
    <t>Harder, Dana (8)</t>
  </si>
  <si>
    <t>Harper, Aaron (8)</t>
  </si>
  <si>
    <t>Kirschner, Sarah (7.75)</t>
  </si>
  <si>
    <t>McLeod, Shannon (2.25+4.75+1)</t>
  </si>
  <si>
    <t>Mercier, Shannon (8)</t>
  </si>
  <si>
    <t>Pavlat, S      (2.25+4.75+1.0 = 8.0)</t>
  </si>
  <si>
    <t>Pavlat, Shannon (LONGEVITY)</t>
  </si>
  <si>
    <t>Raab, Amanda (1.75+2.5+1.75</t>
  </si>
  <si>
    <t>Raab, John (2 + 5 = 7)</t>
  </si>
  <si>
    <t>Sanchez, Amanda (8)</t>
  </si>
  <si>
    <t>Triest, Bonnie (7))</t>
  </si>
  <si>
    <t>Triest, Loni (7)</t>
  </si>
  <si>
    <t>Fazer, Tracey (6+1=7)</t>
  </si>
  <si>
    <t xml:space="preserve">Beauchamp, Breanna  (5.5)                 </t>
  </si>
  <si>
    <t>Kleikamp, Megan (5.5)</t>
  </si>
  <si>
    <t>INSURANCE</t>
  </si>
  <si>
    <t xml:space="preserve">Retirement </t>
  </si>
  <si>
    <t>30%</t>
  </si>
  <si>
    <t>0111.109</t>
  </si>
  <si>
    <t>1100000000</t>
  </si>
  <si>
    <t>0111.108</t>
  </si>
  <si>
    <t>0111.105</t>
  </si>
  <si>
    <t>0111.103</t>
  </si>
  <si>
    <t>0111.101</t>
  </si>
  <si>
    <t>0151.101</t>
  </si>
  <si>
    <t>0171.101</t>
  </si>
  <si>
    <t>0171.103</t>
  </si>
  <si>
    <t>0171.102</t>
  </si>
  <si>
    <t>0181.101</t>
  </si>
  <si>
    <t>0199.118</t>
  </si>
  <si>
    <t>0199.101</t>
  </si>
  <si>
    <t>0199.105</t>
  </si>
  <si>
    <t>0199.103</t>
  </si>
  <si>
    <t>0199.102</t>
  </si>
  <si>
    <t>0199.110</t>
  </si>
  <si>
    <t>0199.117</t>
  </si>
  <si>
    <t>0199.116</t>
  </si>
  <si>
    <t>0199.109</t>
  </si>
  <si>
    <t>0199.115</t>
  </si>
  <si>
    <t>0321.101</t>
  </si>
  <si>
    <t>0413.101</t>
  </si>
  <si>
    <t>1100000499</t>
  </si>
  <si>
    <t>0414.101</t>
  </si>
  <si>
    <t>1100000601</t>
  </si>
  <si>
    <t>0414.105</t>
  </si>
  <si>
    <t>1100000753</t>
  </si>
  <si>
    <t>0414.102</t>
  </si>
  <si>
    <t>1100000764</t>
  </si>
  <si>
    <t>0418.101</t>
  </si>
  <si>
    <t>1100000696</t>
  </si>
  <si>
    <t>0414.106</t>
  </si>
  <si>
    <t>1100000796</t>
  </si>
  <si>
    <t>0519.106</t>
  </si>
  <si>
    <t>0312.115</t>
  </si>
  <si>
    <t>1100000366</t>
  </si>
  <si>
    <t>0312.113</t>
  </si>
  <si>
    <t>0312.111</t>
  </si>
  <si>
    <t>1100000208</t>
  </si>
  <si>
    <t>0312.116</t>
  </si>
  <si>
    <t>0312.114</t>
  </si>
  <si>
    <t>1100020306</t>
  </si>
  <si>
    <t>0312.107</t>
  </si>
  <si>
    <t>0312.106</t>
  </si>
  <si>
    <t>0312.108</t>
  </si>
  <si>
    <t>0312.101</t>
  </si>
  <si>
    <t>1100120202</t>
  </si>
  <si>
    <t>0312.102</t>
  </si>
  <si>
    <t>1100070349</t>
  </si>
  <si>
    <t>0312.109</t>
  </si>
  <si>
    <t>0519.103</t>
  </si>
  <si>
    <t>0593.101</t>
  </si>
  <si>
    <t>1100010101</t>
  </si>
  <si>
    <t>0311.101</t>
  </si>
  <si>
    <t>0311.102</t>
  </si>
  <si>
    <t>0311.104</t>
  </si>
  <si>
    <t>0312.103</t>
  </si>
  <si>
    <t>1100000370</t>
  </si>
  <si>
    <t>0312.104</t>
  </si>
  <si>
    <t>2500000000</t>
  </si>
  <si>
    <t>0161.201</t>
  </si>
  <si>
    <t>0161.202</t>
  </si>
  <si>
    <t>0162.201</t>
  </si>
  <si>
    <t>0162.202</t>
  </si>
  <si>
    <t>0162.203</t>
  </si>
  <si>
    <t>0162.204</t>
  </si>
  <si>
    <t>0199.201</t>
  </si>
  <si>
    <t>0199.202</t>
  </si>
  <si>
    <t>2500110310</t>
  </si>
  <si>
    <t>0312.202</t>
  </si>
  <si>
    <t>2500110311</t>
  </si>
  <si>
    <t>0312.201</t>
  </si>
  <si>
    <t>0611.201</t>
  </si>
  <si>
    <t>0199.203</t>
  </si>
  <si>
    <t>2500000781</t>
  </si>
  <si>
    <t>0481.201</t>
  </si>
  <si>
    <t>2500000782</t>
  </si>
  <si>
    <t>0482.201</t>
  </si>
  <si>
    <t>2500000851</t>
  </si>
  <si>
    <t>0414.201</t>
  </si>
  <si>
    <t>2510298000</t>
  </si>
  <si>
    <t>1620.105</t>
  </si>
  <si>
    <t>1650.102</t>
  </si>
  <si>
    <t>1860.102</t>
  </si>
  <si>
    <t>1890.112</t>
  </si>
  <si>
    <t>2130.116</t>
  </si>
  <si>
    <t>2820</t>
  </si>
  <si>
    <t>2830</t>
  </si>
  <si>
    <t>4190.101</t>
  </si>
  <si>
    <t>5610.101</t>
  </si>
  <si>
    <t>5610.102</t>
  </si>
  <si>
    <t>2510298781</t>
  </si>
  <si>
    <t>5650.101</t>
  </si>
  <si>
    <t>2530297000</t>
  </si>
  <si>
    <t>1620.106</t>
  </si>
  <si>
    <t>1650.103</t>
  </si>
  <si>
    <t>1860.103</t>
  </si>
  <si>
    <t>1890.113</t>
  </si>
  <si>
    <t>2130.117</t>
  </si>
  <si>
    <t>4120.102</t>
  </si>
  <si>
    <t>5990.123</t>
  </si>
  <si>
    <t>5990.127</t>
  </si>
  <si>
    <t>5990.13</t>
  </si>
  <si>
    <t>4190.105</t>
  </si>
  <si>
    <t>4120.103</t>
  </si>
  <si>
    <t>5610.103</t>
  </si>
  <si>
    <t>5610.104</t>
  </si>
  <si>
    <t>2530297781</t>
  </si>
  <si>
    <t>5650.102</t>
  </si>
  <si>
    <t>5990.124</t>
  </si>
  <si>
    <t>5990.128</t>
  </si>
  <si>
    <t>5990.137</t>
  </si>
  <si>
    <t>6420.107</t>
  </si>
  <si>
    <t>1240.104</t>
  </si>
  <si>
    <t>1100122202</t>
  </si>
  <si>
    <t>1240.125</t>
  </si>
  <si>
    <t>1870.103</t>
  </si>
  <si>
    <t>1790.101</t>
  </si>
  <si>
    <t>2130.104</t>
  </si>
  <si>
    <t>2820.131</t>
  </si>
  <si>
    <t>2840.104</t>
  </si>
  <si>
    <t>2920</t>
  </si>
  <si>
    <t>5110.104</t>
  </si>
  <si>
    <t>3210.101</t>
  </si>
  <si>
    <t>3110.105</t>
  </si>
  <si>
    <t>1240.127</t>
  </si>
  <si>
    <t>1100124306</t>
  </si>
  <si>
    <t>5910.105</t>
  </si>
  <si>
    <t>5910.104</t>
  </si>
  <si>
    <t>5110.105</t>
  </si>
  <si>
    <t>3220.101</t>
  </si>
  <si>
    <t>2820.13</t>
  </si>
  <si>
    <t>2130.107</t>
  </si>
  <si>
    <t>1100212000</t>
  </si>
  <si>
    <t>1220.102</t>
  </si>
  <si>
    <t>1220.101</t>
  </si>
  <si>
    <t>2820.132</t>
  </si>
  <si>
    <t>5110.142</t>
  </si>
  <si>
    <t>3220.118</t>
  </si>
  <si>
    <t>1100221768</t>
  </si>
  <si>
    <t>5990.136</t>
  </si>
  <si>
    <t>5990.138</t>
  </si>
  <si>
    <t>1890.102</t>
  </si>
  <si>
    <t>1100222000</t>
  </si>
  <si>
    <t>1630.109</t>
  </si>
  <si>
    <t>2130.108</t>
  </si>
  <si>
    <t>2820.133</t>
  </si>
  <si>
    <t>5990.104</t>
  </si>
  <si>
    <t>5410.101</t>
  </si>
  <si>
    <t>5210.104</t>
  </si>
  <si>
    <t>3160.101</t>
  </si>
  <si>
    <t>1100231000</t>
  </si>
  <si>
    <t>2830.11</t>
  </si>
  <si>
    <t>1140</t>
  </si>
  <si>
    <t>7410.101</t>
  </si>
  <si>
    <t>5990.105</t>
  </si>
  <si>
    <t>2130.109</t>
  </si>
  <si>
    <t>1100232000</t>
  </si>
  <si>
    <t>1990</t>
  </si>
  <si>
    <t>1890.103</t>
  </si>
  <si>
    <t>1790.102</t>
  </si>
  <si>
    <t>1620.103</t>
  </si>
  <si>
    <t>1310</t>
  </si>
  <si>
    <t>1110</t>
  </si>
  <si>
    <t>2820.134</t>
  </si>
  <si>
    <t>3110.109</t>
  </si>
  <si>
    <t>3110.106</t>
  </si>
  <si>
    <t>2990.102</t>
  </si>
  <si>
    <t>3170.101</t>
  </si>
  <si>
    <t>3110.123</t>
  </si>
  <si>
    <t>3190.124</t>
  </si>
  <si>
    <t>3180</t>
  </si>
  <si>
    <t>4910.108</t>
  </si>
  <si>
    <t>3510.101</t>
  </si>
  <si>
    <t>3430.102</t>
  </si>
  <si>
    <t>3410.101</t>
  </si>
  <si>
    <t>3220.105</t>
  </si>
  <si>
    <t>5990.106</t>
  </si>
  <si>
    <t>5910.101</t>
  </si>
  <si>
    <t>7410.102</t>
  </si>
  <si>
    <t>7610.102</t>
  </si>
  <si>
    <t>1100259000</t>
  </si>
  <si>
    <t>7610.101</t>
  </si>
  <si>
    <t>7210</t>
  </si>
  <si>
    <t>2130.122</t>
  </si>
  <si>
    <t>1100261000</t>
  </si>
  <si>
    <t>2130.118</t>
  </si>
  <si>
    <t>1860.101</t>
  </si>
  <si>
    <t>1790.103</t>
  </si>
  <si>
    <t>1640</t>
  </si>
  <si>
    <t>1160.001</t>
  </si>
  <si>
    <t>2820.135</t>
  </si>
  <si>
    <t>2840.106</t>
  </si>
  <si>
    <t>3910</t>
  </si>
  <si>
    <t>3830</t>
  </si>
  <si>
    <t>3160.102</t>
  </si>
  <si>
    <t>4190.104</t>
  </si>
  <si>
    <t>4190.103</t>
  </si>
  <si>
    <t>4120.101</t>
  </si>
  <si>
    <t>4110</t>
  </si>
  <si>
    <t>2850.101</t>
  </si>
  <si>
    <t>5510.103</t>
  </si>
  <si>
    <t>5510.102</t>
  </si>
  <si>
    <t>5510.101</t>
  </si>
  <si>
    <t>4190.106</t>
  </si>
  <si>
    <t>5520.105</t>
  </si>
  <si>
    <t>5520.104</t>
  </si>
  <si>
    <t>5520.103</t>
  </si>
  <si>
    <t>5520.102</t>
  </si>
  <si>
    <t>5520.101</t>
  </si>
  <si>
    <t>5990.112</t>
  </si>
  <si>
    <t>5990.111</t>
  </si>
  <si>
    <t>5990.113</t>
  </si>
  <si>
    <t>1610.103</t>
  </si>
  <si>
    <t>1100271000</t>
  </si>
  <si>
    <t>1610.102</t>
  </si>
  <si>
    <t>1610.101</t>
  </si>
  <si>
    <t>1160.002</t>
  </si>
  <si>
    <t>1790.104</t>
  </si>
  <si>
    <t>1690</t>
  </si>
  <si>
    <t>2130.123</t>
  </si>
  <si>
    <t>2130.119</t>
  </si>
  <si>
    <t>1890.104</t>
  </si>
  <si>
    <t>2820.136</t>
  </si>
  <si>
    <t>2840.107</t>
  </si>
  <si>
    <t>3160.103</t>
  </si>
  <si>
    <t>3210.102</t>
  </si>
  <si>
    <t>3220.106</t>
  </si>
  <si>
    <t>3930</t>
  </si>
  <si>
    <t>5710.102</t>
  </si>
  <si>
    <t>5710.101</t>
  </si>
  <si>
    <t>5520.106</t>
  </si>
  <si>
    <t>5510.104</t>
  </si>
  <si>
    <t>5730</t>
  </si>
  <si>
    <t>5720</t>
  </si>
  <si>
    <t>6650.102</t>
  </si>
  <si>
    <t>5990.107</t>
  </si>
  <si>
    <t>5990.114</t>
  </si>
  <si>
    <t>4130</t>
  </si>
  <si>
    <t>4220</t>
  </si>
  <si>
    <t>1560.102</t>
  </si>
  <si>
    <t>1100293000</t>
  </si>
  <si>
    <t>1560.101</t>
  </si>
  <si>
    <t>2820.137</t>
  </si>
  <si>
    <t>3190.119</t>
  </si>
  <si>
    <t>3190.115</t>
  </si>
  <si>
    <t>3190.111</t>
  </si>
  <si>
    <t>3190.107</t>
  </si>
  <si>
    <t>3220.112</t>
  </si>
  <si>
    <t>3220.114</t>
  </si>
  <si>
    <t>3510.102</t>
  </si>
  <si>
    <t>5990.115</t>
  </si>
  <si>
    <t>6420.103</t>
  </si>
  <si>
    <t>3220.116</t>
  </si>
  <si>
    <t>8110.104</t>
  </si>
  <si>
    <t>1100635000</t>
  </si>
  <si>
    <t>8110.103</t>
  </si>
  <si>
    <t>1100625000</t>
  </si>
  <si>
    <t>8110.102</t>
  </si>
  <si>
    <t>1100621000</t>
  </si>
  <si>
    <t>1110111000</t>
  </si>
  <si>
    <t>1240.101</t>
  </si>
  <si>
    <t>1240.118</t>
  </si>
  <si>
    <t>1240.122</t>
  </si>
  <si>
    <t>1630.103</t>
  </si>
  <si>
    <t>1790.105</t>
  </si>
  <si>
    <t>1870.104</t>
  </si>
  <si>
    <t>1890.105</t>
  </si>
  <si>
    <t>2130.101</t>
  </si>
  <si>
    <t>2820.138</t>
  </si>
  <si>
    <t>2850.102</t>
  </si>
  <si>
    <t>2840.101</t>
  </si>
  <si>
    <t>3190.101</t>
  </si>
  <si>
    <t>3110.102</t>
  </si>
  <si>
    <t>3210.103</t>
  </si>
  <si>
    <t>3220.107</t>
  </si>
  <si>
    <t>5110.101</t>
  </si>
  <si>
    <t>5410.102</t>
  </si>
  <si>
    <t>5210.101</t>
  </si>
  <si>
    <t>5990.101</t>
  </si>
  <si>
    <t>1170</t>
  </si>
  <si>
    <t>1240.111</t>
  </si>
  <si>
    <t>1630.111</t>
  </si>
  <si>
    <t>1870.106</t>
  </si>
  <si>
    <t>1890.106</t>
  </si>
  <si>
    <t>2130.111</t>
  </si>
  <si>
    <t>3110.124</t>
  </si>
  <si>
    <t>5110.107</t>
  </si>
  <si>
    <t>5990.108</t>
  </si>
  <si>
    <t>1630.104</t>
  </si>
  <si>
    <t>1890.107</t>
  </si>
  <si>
    <t>1110124306</t>
  </si>
  <si>
    <t>1240.109</t>
  </si>
  <si>
    <t>1630.105</t>
  </si>
  <si>
    <t>1870.107</t>
  </si>
  <si>
    <t>1890.108</t>
  </si>
  <si>
    <t>1110240000</t>
  </si>
  <si>
    <t>1150.101</t>
  </si>
  <si>
    <t>1620.104</t>
  </si>
  <si>
    <t>1790.106</t>
  </si>
  <si>
    <t>1800</t>
  </si>
  <si>
    <t>1890.11</t>
  </si>
  <si>
    <t>2130.12</t>
  </si>
  <si>
    <t>2130.124</t>
  </si>
  <si>
    <t>2820.139</t>
  </si>
  <si>
    <t>2990.101</t>
  </si>
  <si>
    <t>3220.11</t>
  </si>
  <si>
    <t>3410.102</t>
  </si>
  <si>
    <t>3430.103</t>
  </si>
  <si>
    <t>5990.109</t>
  </si>
  <si>
    <t>5910.102</t>
  </si>
  <si>
    <t>1120241000</t>
  </si>
  <si>
    <t>1150.102</t>
  </si>
  <si>
    <t>1890.111</t>
  </si>
  <si>
    <t>1620.101</t>
  </si>
  <si>
    <t>1130113000</t>
  </si>
  <si>
    <t>1240.103</t>
  </si>
  <si>
    <t>1240.126</t>
  </si>
  <si>
    <t>1240.13</t>
  </si>
  <si>
    <t>1290</t>
  </si>
  <si>
    <t>1790.108</t>
  </si>
  <si>
    <t>1870.112</t>
  </si>
  <si>
    <t>2130.103</t>
  </si>
  <si>
    <t>2820.141</t>
  </si>
  <si>
    <t>2840.103</t>
  </si>
  <si>
    <t>3110.104</t>
  </si>
  <si>
    <t>3210.105</t>
  </si>
  <si>
    <t>3710</t>
  </si>
  <si>
    <t>5110.103</t>
  </si>
  <si>
    <t>5210.103</t>
  </si>
  <si>
    <t>5990.103</t>
  </si>
  <si>
    <t>1130119000</t>
  </si>
  <si>
    <t>1240.107</t>
  </si>
  <si>
    <t>2130.114</t>
  </si>
  <si>
    <t>5990.141</t>
  </si>
  <si>
    <t>1220.104</t>
  </si>
  <si>
    <t>3190.114</t>
  </si>
  <si>
    <t>1100129753</t>
  </si>
  <si>
    <t>3190.123</t>
  </si>
  <si>
    <t>3190.11</t>
  </si>
  <si>
    <t>1110117000</t>
  </si>
  <si>
    <t>1240.11</t>
  </si>
  <si>
    <t>1630.11</t>
  </si>
  <si>
    <t>5990.122</t>
  </si>
  <si>
    <t>5990.126</t>
  </si>
  <si>
    <t>1110129753</t>
  </si>
  <si>
    <t>5910.112</t>
  </si>
  <si>
    <t>5910.11</t>
  </si>
  <si>
    <t>1110126766</t>
  </si>
  <si>
    <t>1630.107</t>
  </si>
  <si>
    <t>1870.11</t>
  </si>
  <si>
    <t>2130.113</t>
  </si>
  <si>
    <t>1240.124</t>
  </si>
  <si>
    <t>1240.123</t>
  </si>
  <si>
    <t>1110125601</t>
  </si>
  <si>
    <t>1240.114</t>
  </si>
  <si>
    <t>1630.106</t>
  </si>
  <si>
    <t>1870.108</t>
  </si>
  <si>
    <t>1890.109</t>
  </si>
  <si>
    <t>2130.112</t>
  </si>
  <si>
    <t>3190.103</t>
  </si>
  <si>
    <t>5110.118</t>
  </si>
  <si>
    <t>5110.125</t>
  </si>
  <si>
    <t>5110.136</t>
  </si>
  <si>
    <t>6420.101</t>
  </si>
  <si>
    <t>6420.102</t>
  </si>
  <si>
    <t>8110.101</t>
  </si>
  <si>
    <t>5110.138</t>
  </si>
  <si>
    <t>4910.107</t>
  </si>
  <si>
    <t>1120112000</t>
  </si>
  <si>
    <t>1240.129</t>
  </si>
  <si>
    <t>1240.102</t>
  </si>
  <si>
    <t>1240.121</t>
  </si>
  <si>
    <t>1790.107</t>
  </si>
  <si>
    <t>1870.111</t>
  </si>
  <si>
    <t>2130.102</t>
  </si>
  <si>
    <t>2820.14</t>
  </si>
  <si>
    <t>2840.102</t>
  </si>
  <si>
    <t>5110.102</t>
  </si>
  <si>
    <t>5410.103</t>
  </si>
  <si>
    <t>5990.102</t>
  </si>
  <si>
    <t>5210.102</t>
  </si>
  <si>
    <t>1130115349</t>
  </si>
  <si>
    <t>1240.128</t>
  </si>
  <si>
    <t>2820.123</t>
  </si>
  <si>
    <t>2830.131</t>
  </si>
  <si>
    <t>3220.119</t>
  </si>
  <si>
    <t>5110.117</t>
  </si>
  <si>
    <t>1130116000</t>
  </si>
  <si>
    <t>4910.101</t>
  </si>
  <si>
    <t>4910.102</t>
  </si>
  <si>
    <t>1130241000</t>
  </si>
  <si>
    <t>1150.103</t>
  </si>
  <si>
    <t>1620.102</t>
  </si>
  <si>
    <t>1790.109</t>
  </si>
  <si>
    <t>2130.121</t>
  </si>
  <si>
    <t>2130.125</t>
  </si>
  <si>
    <t>2820.142</t>
  </si>
  <si>
    <t>2820.115</t>
  </si>
  <si>
    <t>3220.111</t>
  </si>
  <si>
    <t>3410.103</t>
  </si>
  <si>
    <t>3430.104</t>
  </si>
  <si>
    <t>5910.103</t>
  </si>
  <si>
    <t>7410.104</t>
  </si>
  <si>
    <t>5990.11</t>
  </si>
  <si>
    <t>3220.113</t>
  </si>
  <si>
    <t>1100116000</t>
  </si>
  <si>
    <t>5110.113</t>
  </si>
  <si>
    <t>1130127000</t>
  </si>
  <si>
    <t>1240.105</t>
  </si>
  <si>
    <t>1240.106</t>
  </si>
  <si>
    <t>1240.115</t>
  </si>
  <si>
    <t>2130.106</t>
  </si>
  <si>
    <t>5110.146</t>
  </si>
  <si>
    <t>6420.105</t>
  </si>
  <si>
    <t>1100284000</t>
  </si>
  <si>
    <t>5910.113</t>
  </si>
  <si>
    <t>0199.113</t>
  </si>
  <si>
    <t>0199.104</t>
  </si>
  <si>
    <t>0414.103</t>
  </si>
  <si>
    <t>0414.104</t>
  </si>
  <si>
    <t>31 O</t>
  </si>
  <si>
    <t>Prog. Dept. Direction Sal</t>
  </si>
  <si>
    <t>Elem. Teacher Slaries</t>
  </si>
  <si>
    <t>Jr H Teacher Salaries</t>
  </si>
  <si>
    <t>HS Teacher Salaries</t>
  </si>
  <si>
    <t>Voc Ed Teacher Sal</t>
  </si>
  <si>
    <t>Little Jets Teacher Sal</t>
  </si>
  <si>
    <t>Elem Teach Aides Sal</t>
  </si>
  <si>
    <t>JR H Sub Teachers Sal</t>
  </si>
  <si>
    <t>Elem sub aides sal</t>
  </si>
  <si>
    <t>Mandatory Coverage</t>
  </si>
  <si>
    <t>Retirement Contr MPSERS</t>
  </si>
  <si>
    <t>PS HS (MCISD-MI VIRTUAL)</t>
  </si>
  <si>
    <t>ESSER III PROFESSION DEV</t>
  </si>
  <si>
    <t>ELEM Extra Duty</t>
  </si>
  <si>
    <t>JH Extra Duty</t>
  </si>
  <si>
    <t>HS Extra Duty</t>
  </si>
  <si>
    <t>Contracted Ser/Other</t>
  </si>
  <si>
    <t>Elem Teach Sup &amp; Mat</t>
  </si>
  <si>
    <t>JR H Teaching Sup &amp; Mat</t>
  </si>
  <si>
    <t>HS TEACH Sup &amp; Mat</t>
  </si>
  <si>
    <t>Welding Teach Sup &amp; Mat</t>
  </si>
  <si>
    <t>Cont. Tech</t>
  </si>
  <si>
    <t>Cont. Hot Spots</t>
  </si>
  <si>
    <t>Elem Textbooks</t>
  </si>
  <si>
    <t>JR H Textbooks</t>
  </si>
  <si>
    <t>Maint Sup/Mat</t>
  </si>
  <si>
    <t>Support Equip &amp; Furniture</t>
  </si>
  <si>
    <t>Misc. Sup/Mat</t>
  </si>
  <si>
    <t>Technology</t>
  </si>
  <si>
    <t>Michigan Virtual</t>
  </si>
  <si>
    <t>Air Purifier</t>
  </si>
  <si>
    <t>Roof Repair</t>
  </si>
  <si>
    <t>2023-24</t>
  </si>
  <si>
    <t>Hannahville Grant -  MS/HS Illustrated Math</t>
  </si>
  <si>
    <t>31AA Mental Health Grant</t>
  </si>
  <si>
    <t>97 School Safety/Pupil</t>
  </si>
  <si>
    <t>97D Critical Incidence Map</t>
  </si>
  <si>
    <t>HV Illustrated Math</t>
  </si>
  <si>
    <t>Cash in Lieu M Barnhart</t>
  </si>
  <si>
    <t>Title I     Chromebooks/Cart</t>
  </si>
  <si>
    <t>Title I     Happy Numbers Subscription</t>
  </si>
  <si>
    <t>Title I     Open Resources Bookworms</t>
  </si>
  <si>
    <t>Title I     Open Resources Student Wkb</t>
  </si>
  <si>
    <t>Title I     Storage Supplies</t>
  </si>
  <si>
    <t>Title I     Counters</t>
  </si>
  <si>
    <t>Title I     Teacher Pay Teachers</t>
  </si>
  <si>
    <t>Title I     Razz Plus</t>
  </si>
  <si>
    <t>Title I     Science A-Z</t>
  </si>
  <si>
    <t>Title I     Reading Eggs - Edmentum</t>
  </si>
  <si>
    <t>Title I     Kidney Shaped Table</t>
  </si>
  <si>
    <t>Title I     6 Min Solution Book Primary</t>
  </si>
  <si>
    <t>Title I     6 Min Solution Book Int</t>
  </si>
  <si>
    <t>Title I     Educational Games</t>
  </si>
  <si>
    <t>Title I     OG Supplies Reading</t>
  </si>
  <si>
    <t>Title I     Filing Cabinets</t>
  </si>
  <si>
    <t>Title I     Bookcases for Bookworm Books</t>
  </si>
  <si>
    <t>Title I     Acadience Testing Booklets</t>
  </si>
  <si>
    <t>Title I     Acadience Online Learning</t>
  </si>
  <si>
    <t>Title II     Sub Teacher Salary</t>
  </si>
  <si>
    <t>Title II     Stipend (Math Recovery)</t>
  </si>
  <si>
    <t>Title II     Math Recovery Supplies</t>
  </si>
  <si>
    <t>Title II     Prof Dev Training Reading Eggs</t>
  </si>
  <si>
    <t>Title II     Stipend Reading Eggs Training</t>
  </si>
  <si>
    <t>1100129754</t>
  </si>
  <si>
    <t>Title IV    Stipend PD Bookworms</t>
  </si>
  <si>
    <t>Ins Damage Exp. Vehicle</t>
  </si>
  <si>
    <t>2023-2024</t>
  </si>
  <si>
    <t xml:space="preserve">Social Worker 31-O </t>
  </si>
  <si>
    <t>TOTAL 31 O FUNDS</t>
  </si>
  <si>
    <t>Social Worker</t>
  </si>
  <si>
    <t>MISC EXP 31AA</t>
  </si>
  <si>
    <t>TOTAL 31 AA FUNDS</t>
  </si>
  <si>
    <t>TOTAL STATE AIDE GRANT</t>
  </si>
  <si>
    <t>SA-97 School Safety PP</t>
  </si>
  <si>
    <t>SA-97C Safety/SEC Risk Assessment</t>
  </si>
  <si>
    <t>SA-97D Cridical Incident Mapping</t>
  </si>
  <si>
    <t>CACFP FS Claims</t>
  </si>
  <si>
    <t>Supply Chain Assitance Funds</t>
  </si>
  <si>
    <t>NWEA Benchmark</t>
  </si>
  <si>
    <t>HS Textbooks</t>
  </si>
  <si>
    <t>Preschool Curriculum</t>
  </si>
  <si>
    <t>Capital Outlay Doors/Heat Units</t>
  </si>
  <si>
    <r>
      <rPr>
        <b/>
        <sz val="12"/>
        <color indexed="10"/>
        <rFont val="Calibri"/>
        <family val="2"/>
      </rPr>
      <t>2023-2024</t>
    </r>
    <r>
      <rPr>
        <b/>
        <sz val="12"/>
        <color indexed="8"/>
        <rFont val="Calibri"/>
        <family val="2"/>
      </rPr>
      <t xml:space="preserve"> GENERAL EDUCATION FUND BUDGET</t>
    </r>
  </si>
  <si>
    <t>Title II     Happy Numbers</t>
  </si>
  <si>
    <t>BD Paid Annuity</t>
  </si>
  <si>
    <t>NORTH CENTRAL        Instructional SALARY  BREAKDOWN              2023-24</t>
  </si>
  <si>
    <t>Acct %</t>
  </si>
  <si>
    <t>Acct 1240.101</t>
  </si>
  <si>
    <t>Acct 1240.102</t>
  </si>
  <si>
    <t>Acct 1240.103</t>
  </si>
  <si>
    <t>GSRP</t>
  </si>
  <si>
    <t>Acct 1240.111</t>
  </si>
  <si>
    <t>Special Ed</t>
  </si>
  <si>
    <t>Acct 1240.104</t>
  </si>
  <si>
    <t>Acct 1240.109</t>
  </si>
  <si>
    <t>Acct 1240.114</t>
  </si>
  <si>
    <t>Acct 1240.105</t>
  </si>
  <si>
    <t>Acct 1240.106</t>
  </si>
  <si>
    <t>Acct 1220.101</t>
  </si>
  <si>
    <t>Acct 1560.101</t>
  </si>
  <si>
    <t>Seymour, Sara</t>
  </si>
  <si>
    <t>67+33%</t>
  </si>
  <si>
    <t>Hicks, Kaitlyn</t>
  </si>
  <si>
    <t>92+8%</t>
  </si>
  <si>
    <t>Mercier, Tyler</t>
  </si>
  <si>
    <t>20+20+60%</t>
  </si>
  <si>
    <t>Nason, Elizabeth</t>
  </si>
  <si>
    <t>83+17%</t>
  </si>
  <si>
    <t>Strahl, Jessica</t>
  </si>
  <si>
    <t>91.8+8.24%</t>
  </si>
  <si>
    <t>Gudwer, Elizabeth</t>
  </si>
  <si>
    <t>20+40+40%</t>
  </si>
  <si>
    <t>2023-2024    NCAS           Support SALARY  BREAKDOWN</t>
  </si>
  <si>
    <t xml:space="preserve">Beauchamp, Breanna  (8.0)                 </t>
  </si>
  <si>
    <t>Bellmore, Jalaine (8)</t>
  </si>
  <si>
    <t>Dombrowski, D   (7)</t>
  </si>
  <si>
    <t>Fazer, Tracey (.50+7.25= 7.75)</t>
  </si>
  <si>
    <t>Harper, Aaron (LONGEVITY)</t>
  </si>
  <si>
    <t>Kirschner, Sarah (2.0+4.75+1.0=7.75)</t>
  </si>
  <si>
    <t>Kleikamp, Brooke (6)</t>
  </si>
  <si>
    <t>Kleikamp, Megan (8)</t>
  </si>
  <si>
    <t>Linder, Jordyn (4.5+.5 = 5.0)</t>
  </si>
  <si>
    <t>Mercier, Shannon (.5 + 7.5 = 8)</t>
  </si>
  <si>
    <t>Pavlat, S      (1.75+5.75+.5 = 8)</t>
  </si>
  <si>
    <t>Raab, Amanda (1.0+4.0+1.0= 6.0)</t>
  </si>
  <si>
    <t>Raab, John (6)</t>
  </si>
  <si>
    <t>New Cook (5+.5 = 5.5)</t>
  </si>
  <si>
    <t>Taylor, Jeanine (6)</t>
  </si>
  <si>
    <t>Triest, Loni (7.75)</t>
  </si>
  <si>
    <t>**2023-2024**</t>
  </si>
  <si>
    <t>NCAS   STAFF     MESSA  (CAP)     2023-2024</t>
  </si>
  <si>
    <t>PAKB</t>
  </si>
  <si>
    <t>R</t>
  </si>
  <si>
    <t>Harry, Lisa</t>
  </si>
  <si>
    <t>0</t>
  </si>
  <si>
    <t>LaBonte, Larry</t>
  </si>
  <si>
    <t xml:space="preserve">Reynolds, Heidi </t>
  </si>
  <si>
    <t>Snyder, Vicki</t>
  </si>
  <si>
    <t>Stein, Matt</t>
  </si>
  <si>
    <t>75%</t>
  </si>
  <si>
    <r>
      <t xml:space="preserve">2023-2024     </t>
    </r>
    <r>
      <rPr>
        <sz val="30"/>
        <rFont val="Arial"/>
        <family val="2"/>
      </rPr>
      <t>NCAS</t>
    </r>
    <r>
      <rPr>
        <b/>
        <sz val="30"/>
        <rFont val="Arial"/>
        <family val="2"/>
      </rPr>
      <t xml:space="preserve">       CAP     </t>
    </r>
    <r>
      <rPr>
        <sz val="30"/>
        <rFont val="Arial"/>
        <family val="2"/>
      </rPr>
      <t>MESSA SUPPORT BUDGET</t>
    </r>
  </si>
  <si>
    <t>Little Jets</t>
  </si>
  <si>
    <t xml:space="preserve">MONTHLY MEDICAL </t>
  </si>
  <si>
    <t>NCAS Paid</t>
  </si>
  <si>
    <t>Monthly Other (100%)</t>
  </si>
  <si>
    <t>PkB-S</t>
  </si>
  <si>
    <t>Beauchamp, Brianna (8.0)</t>
  </si>
  <si>
    <t>Bellmore, Jalaine   (1+7=8)</t>
  </si>
  <si>
    <t>Dombrowski, D   (7.0)</t>
  </si>
  <si>
    <t>Fazer, Doreen (8.0)</t>
  </si>
  <si>
    <t>PK-B S</t>
  </si>
  <si>
    <t>Fazer, Tracey (.50 + 7.0= 7.5)</t>
  </si>
  <si>
    <t>PKB-2-P</t>
  </si>
  <si>
    <t>Granquist, Cherie (8.0)</t>
  </si>
  <si>
    <t>PKB - S</t>
  </si>
  <si>
    <t>Harder, Dana (8.0)</t>
  </si>
  <si>
    <t>Harper, Aaron (8.0)</t>
  </si>
  <si>
    <t>Kirschner, Sarah (2.0+4.75+1.0)</t>
  </si>
  <si>
    <t>Kleikamp, Brooke (6.0)</t>
  </si>
  <si>
    <t>PKB-S</t>
  </si>
  <si>
    <t>Kleikamp, Megan (8.0)</t>
  </si>
  <si>
    <t>Mercier, Shannon (.50+7.5)</t>
  </si>
  <si>
    <t>PKB -S</t>
  </si>
  <si>
    <t>Pavlat, S (1.75+5.75+.50)</t>
  </si>
  <si>
    <t>Raab, Amanda (1.0+4.0+1.0)</t>
  </si>
  <si>
    <t>Raab, John (6.0)</t>
  </si>
  <si>
    <t>Taylor, Jeanine (6.0)</t>
  </si>
  <si>
    <t>None</t>
  </si>
  <si>
    <t>Whitens, Jordyn (5.0)</t>
  </si>
  <si>
    <t>PKB</t>
  </si>
  <si>
    <t>Bianco, Donny</t>
  </si>
  <si>
    <t>Florenski, David</t>
  </si>
  <si>
    <t>O'Neil, Riley</t>
  </si>
  <si>
    <t>Wells, Matthew (50+50%)</t>
  </si>
  <si>
    <t>2024 ACTUAL</t>
  </si>
  <si>
    <t>2023-2024 (Blend)</t>
  </si>
  <si>
    <t xml:space="preserve"> BUDGET Based on count x $1,677.42 pp</t>
  </si>
  <si>
    <t>NOV REVISED</t>
  </si>
  <si>
    <t>147f MPSR 0.5 UAAL Rate Reim</t>
  </si>
  <si>
    <t>147a(3) MPSER Cost Offset Dist</t>
  </si>
  <si>
    <t>TOTAL STATE AID (99h Rob)</t>
  </si>
  <si>
    <t>Little Jet's     Snack</t>
  </si>
  <si>
    <r>
      <t xml:space="preserve">BE IT FURTHER RESOLVED, that the total revenues and unappropriated fund balance estimated to be available for appropriation in the GENERAL EDUCATION FUND of the school district for the fiscal year </t>
    </r>
    <r>
      <rPr>
        <sz val="12"/>
        <color rgb="FFFF0000"/>
        <rFont val="Calibri"/>
        <family val="2"/>
        <scheme val="minor"/>
      </rPr>
      <t>2023-2024</t>
    </r>
    <r>
      <rPr>
        <sz val="12"/>
        <color theme="1"/>
        <rFont val="Calibri"/>
        <family val="2"/>
        <scheme val="minor"/>
      </rPr>
      <t xml:space="preserve"> as follows:</t>
    </r>
  </si>
  <si>
    <t>FUND BALANCE0 July 1, 2022</t>
  </si>
  <si>
    <t>FUND BALANCE - July 1, 2023</t>
  </si>
  <si>
    <t>RESOLVED, that this resolution shall be the general appropriation of North Central Area School District for  the 2023-2024 fiscal year; a resolution to make appropriations; to provide for the expenditure of the appropriations; and to provide for the disposition of all revenues received by North Central Area School District.</t>
  </si>
  <si>
    <t xml:space="preserve"> Actual Fund Balance July 1, 2021 - $474,499.00</t>
  </si>
  <si>
    <t xml:space="preserve"> Actual Fund Balance July 1, 2022 - $324,486.00</t>
  </si>
  <si>
    <t xml:space="preserve"> Actual Fund Balance July 1, 2023 - $1,006,874.00</t>
  </si>
  <si>
    <t>22I Dist. Tran. Cost</t>
  </si>
  <si>
    <t>297 Enrollment</t>
  </si>
  <si>
    <t>FEB REVISED</t>
  </si>
  <si>
    <t>22I District Transport Costs</t>
  </si>
  <si>
    <t>27L Educator Comp</t>
  </si>
  <si>
    <t>ISD Start Up Grant GSRP</t>
  </si>
  <si>
    <t>GSRP Tuition Fees</t>
  </si>
  <si>
    <t>CS Voc Ed Reimb</t>
  </si>
  <si>
    <t>Ins Claim Reimb.</t>
  </si>
  <si>
    <t>Medicaid Bill/Spec Ed/ ISD</t>
  </si>
  <si>
    <t>Hannahville Grant -  Science Textbooks</t>
  </si>
  <si>
    <t>22A Prop A Obligation</t>
  </si>
  <si>
    <t>22B Discretionary Payment</t>
  </si>
  <si>
    <t>22D.4 Isolated Districts</t>
  </si>
  <si>
    <t>29(7) Enrollment Stabilization</t>
  </si>
  <si>
    <t>67F FAFSA Compl. Challenge</t>
  </si>
  <si>
    <t>61D CTE Per Pupil</t>
  </si>
  <si>
    <t>152A Headlee-Data Collect.</t>
  </si>
  <si>
    <t>147A(1)   MPSERS Cost Offset</t>
  </si>
  <si>
    <t>1100000256</t>
  </si>
  <si>
    <t>51c        Spec Ed Headlee Obli</t>
  </si>
  <si>
    <t>31A(16) At Risk Addtl Amt</t>
  </si>
  <si>
    <t>35a(6)    Early Literacy c/o</t>
  </si>
  <si>
    <t>GSRP (ISD) Section 36 Early Child</t>
  </si>
  <si>
    <t>Elementary Teachers Salary</t>
  </si>
  <si>
    <t>JH Travel Local</t>
  </si>
  <si>
    <t>Software Maint. Earlly Lit</t>
  </si>
  <si>
    <t>TOTAL LITTLE JET'S CHILDCARE PROGRAM</t>
  </si>
  <si>
    <t>Spec Ed     Cash in Lieu</t>
  </si>
  <si>
    <t>Title I Remaining Balance</t>
  </si>
  <si>
    <t>Title II     Leaders PD Stph. Conf. Sub/Mileage</t>
  </si>
  <si>
    <t>Title II     Letrs Training Sub Cost</t>
  </si>
  <si>
    <t>Title II Remaining Balance</t>
  </si>
  <si>
    <t>1100231001</t>
  </si>
  <si>
    <t>Conference/Travel</t>
  </si>
  <si>
    <t>Superintendent Extra Pay</t>
  </si>
  <si>
    <t>TOTAL GSRP</t>
  </si>
  <si>
    <t>GSRP Teacher Salary</t>
  </si>
  <si>
    <t>Assoc. Teacher Salary</t>
  </si>
  <si>
    <t>Sub Teacher Salary</t>
  </si>
  <si>
    <t>GSRP Sub Aide Salary</t>
  </si>
  <si>
    <t>Emp Ins. GSRP</t>
  </si>
  <si>
    <t>Furniture</t>
  </si>
  <si>
    <t>Non-LEA Food Service Costs</t>
  </si>
  <si>
    <t>Playground Equipment</t>
  </si>
  <si>
    <t>Prof Dev. - Travel Expense</t>
  </si>
  <si>
    <t>Technology Teacher/Assistant</t>
  </si>
  <si>
    <t>Comp. Curriculum</t>
  </si>
  <si>
    <t>GSRP Program. Admin</t>
  </si>
  <si>
    <t>Fiscal Services - Business Office</t>
  </si>
  <si>
    <t>Maintenenance imp. GSRP Room</t>
  </si>
  <si>
    <t>LEA Food Cost Service</t>
  </si>
  <si>
    <t>Lead Teacher</t>
  </si>
  <si>
    <t>Associate Teacher</t>
  </si>
  <si>
    <t>Travel PD</t>
  </si>
  <si>
    <t>TOTAL GSRP START-UP GRANT (ISD)</t>
  </si>
  <si>
    <t>TOTAL GSRP TRANSPORTATION</t>
  </si>
  <si>
    <t>GSRP Bus Driver Wage</t>
  </si>
  <si>
    <t>GSRP Transportation Retirement</t>
  </si>
  <si>
    <t>GSRP Transportation FICA</t>
  </si>
  <si>
    <r>
      <t xml:space="preserve">BE IT FURTHER RESOLVED THAT </t>
    </r>
    <r>
      <rPr>
        <sz val="12"/>
        <color rgb="FFFF0000"/>
        <rFont val="Calibri"/>
        <family val="2"/>
        <scheme val="minor"/>
      </rPr>
      <t>$4,952,782</t>
    </r>
    <r>
      <rPr>
        <sz val="12"/>
        <color theme="1"/>
        <rFont val="Calibri"/>
        <family val="2"/>
        <scheme val="minor"/>
      </rPr>
      <t xml:space="preserve"> of the total available to appropriate in the GENERAL EDUCATION FUND hereby appropriated in the amounts and for the purposed set forth below:</t>
    </r>
  </si>
  <si>
    <t>2/21/2024</t>
  </si>
  <si>
    <t>Fund Balance June 30, 2023</t>
  </si>
  <si>
    <t>ELE Food Serv - Equip/Fur</t>
  </si>
  <si>
    <t>30 Universal School Lunch</t>
  </si>
  <si>
    <t>30 D Universal School Breakfast</t>
  </si>
  <si>
    <t>31K Student Meal Debt Forgiveness</t>
  </si>
  <si>
    <t>State Aid - School Meals 31D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</si>
</sst>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m/d/yy;@"/>
    <numFmt numFmtId="167" formatCode="_(&quot;$&quot;* #,##0_);_(&quot;$&quot;* \(#,##0\);_(&quot;$&quot;* &quot;-&quot;??_);_(@_)"/>
    <numFmt numFmtId="168" formatCode="0.000%"/>
    <numFmt numFmtId="169" formatCode="_([$$-409]* #,##0_);_([$$-409]* \(#,##0\);_([$$-409]* &quot;-&quot;??_);_(@_)"/>
    <numFmt numFmtId="170" formatCode="0000.000"/>
    <numFmt numFmtId="171" formatCode="&quot;$&quot;#,##0.00"/>
  </numFmts>
  <fonts count="7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25"/>
      <name val="Arial"/>
      <family val="2"/>
    </font>
    <font>
      <i/>
      <sz val="30"/>
      <color indexed="10"/>
      <name val="Arial"/>
      <family val="2"/>
    </font>
    <font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i/>
      <u val="singleAccounting"/>
      <sz val="10"/>
      <color indexed="10"/>
      <name val="Arial"/>
      <family val="2"/>
    </font>
    <font>
      <b/>
      <i/>
      <u/>
      <sz val="10"/>
      <color indexed="10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i/>
      <u/>
      <sz val="8"/>
      <name val="Arial"/>
      <family val="2"/>
    </font>
    <font>
      <b/>
      <sz val="10"/>
      <color indexed="12"/>
      <name val="Arial"/>
      <family val="2"/>
    </font>
    <font>
      <b/>
      <u/>
      <sz val="9"/>
      <name val="Arial"/>
      <family val="2"/>
    </font>
    <font>
      <b/>
      <i/>
      <sz val="16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u val="singleAccounting"/>
      <sz val="10"/>
      <color indexed="10"/>
      <name val="Arial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i/>
      <u val="singleAccounting"/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1141D9"/>
      <name val="Arial"/>
      <family val="2"/>
    </font>
    <font>
      <b/>
      <sz val="12"/>
      <color rgb="FF1141D9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i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strike/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6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6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Fill="1"/>
    <xf numFmtId="0" fontId="2" fillId="0" borderId="0" xfId="0" applyFont="1"/>
    <xf numFmtId="164" fontId="2" fillId="0" borderId="0" xfId="1" applyNumberFormat="1" applyFont="1" applyFill="1" applyBorder="1"/>
    <xf numFmtId="0" fontId="2" fillId="0" borderId="0" xfId="0" applyFont="1" applyAlignment="1">
      <alignment horizontal="right"/>
    </xf>
    <xf numFmtId="164" fontId="9" fillId="0" borderId="0" xfId="1" applyNumberFormat="1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164" fontId="12" fillId="0" borderId="0" xfId="1" applyNumberFormat="1" applyFont="1" applyFill="1" applyBorder="1"/>
    <xf numFmtId="0" fontId="9" fillId="0" borderId="0" xfId="0" applyFont="1" applyAlignment="1">
      <alignment horizontal="right"/>
    </xf>
    <xf numFmtId="164" fontId="15" fillId="0" borderId="0" xfId="1" applyNumberFormat="1" applyFont="1" applyFill="1" applyBorder="1"/>
    <xf numFmtId="0" fontId="4" fillId="0" borderId="0" xfId="0" applyFont="1" applyAlignment="1">
      <alignment horizontal="center"/>
    </xf>
    <xf numFmtId="164" fontId="15" fillId="0" borderId="1" xfId="1" applyNumberFormat="1" applyFont="1" applyFill="1" applyBorder="1"/>
    <xf numFmtId="0" fontId="10" fillId="0" borderId="0" xfId="0" applyFont="1" applyAlignment="1">
      <alignment horizontal="center"/>
    </xf>
    <xf numFmtId="0" fontId="24" fillId="0" borderId="0" xfId="0" applyFont="1"/>
    <xf numFmtId="165" fontId="16" fillId="0" borderId="0" xfId="7" applyNumberFormat="1" applyFont="1" applyAlignment="1">
      <alignment horizontal="center"/>
    </xf>
    <xf numFmtId="9" fontId="25" fillId="0" borderId="0" xfId="9" applyFont="1" applyAlignment="1">
      <alignment horizontal="center"/>
    </xf>
    <xf numFmtId="167" fontId="7" fillId="0" borderId="0" xfId="7" applyNumberFormat="1" applyFont="1"/>
    <xf numFmtId="167" fontId="9" fillId="0" borderId="0" xfId="7" applyNumberFormat="1"/>
    <xf numFmtId="0" fontId="9" fillId="0" borderId="0" xfId="7"/>
    <xf numFmtId="164" fontId="9" fillId="0" borderId="0" xfId="2" applyNumberFormat="1"/>
    <xf numFmtId="0" fontId="27" fillId="0" borderId="0" xfId="7" applyFont="1"/>
    <xf numFmtId="164" fontId="27" fillId="0" borderId="0" xfId="2" applyNumberFormat="1" applyFont="1"/>
    <xf numFmtId="10" fontId="24" fillId="2" borderId="2" xfId="7" applyNumberFormat="1" applyFont="1" applyFill="1" applyBorder="1" applyAlignment="1">
      <alignment horizontal="center"/>
    </xf>
    <xf numFmtId="9" fontId="19" fillId="0" borderId="0" xfId="9" applyFont="1" applyFill="1" applyBorder="1" applyAlignment="1">
      <alignment horizontal="center"/>
    </xf>
    <xf numFmtId="167" fontId="24" fillId="0" borderId="0" xfId="7" applyNumberFormat="1" applyFont="1" applyAlignment="1">
      <alignment horizontal="center"/>
    </xf>
    <xf numFmtId="167" fontId="5" fillId="0" borderId="0" xfId="7" applyNumberFormat="1" applyFont="1" applyAlignment="1">
      <alignment horizontal="center"/>
    </xf>
    <xf numFmtId="0" fontId="5" fillId="0" borderId="0" xfId="7" applyFont="1" applyAlignment="1">
      <alignment horizontal="center"/>
    </xf>
    <xf numFmtId="9" fontId="22" fillId="0" borderId="0" xfId="9" applyFont="1" applyAlignment="1">
      <alignment horizontal="center"/>
    </xf>
    <xf numFmtId="164" fontId="5" fillId="0" borderId="0" xfId="2" applyNumberFormat="1" applyFont="1" applyAlignment="1">
      <alignment horizontal="center"/>
    </xf>
    <xf numFmtId="0" fontId="2" fillId="0" borderId="3" xfId="7" applyFont="1" applyBorder="1" applyAlignment="1">
      <alignment horizontal="center"/>
    </xf>
    <xf numFmtId="9" fontId="25" fillId="0" borderId="3" xfId="9" applyFont="1" applyBorder="1" applyAlignment="1">
      <alignment horizontal="center"/>
    </xf>
    <xf numFmtId="167" fontId="2" fillId="0" borderId="3" xfId="7" quotePrefix="1" applyNumberFormat="1" applyFont="1" applyBorder="1" applyAlignment="1">
      <alignment horizontal="center"/>
    </xf>
    <xf numFmtId="167" fontId="2" fillId="0" borderId="3" xfId="5" applyNumberFormat="1" applyFont="1" applyBorder="1" applyAlignment="1">
      <alignment horizontal="center"/>
    </xf>
    <xf numFmtId="164" fontId="9" fillId="0" borderId="0" xfId="7" applyNumberFormat="1" applyAlignment="1">
      <alignment horizontal="center"/>
    </xf>
    <xf numFmtId="164" fontId="2" fillId="0" borderId="0" xfId="2" applyNumberFormat="1" applyFont="1" applyAlignment="1">
      <alignment horizontal="center"/>
    </xf>
    <xf numFmtId="0" fontId="2" fillId="0" borderId="0" xfId="7" applyFont="1" applyAlignment="1">
      <alignment horizontal="center"/>
    </xf>
    <xf numFmtId="49" fontId="9" fillId="0" borderId="0" xfId="7" applyNumberFormat="1"/>
    <xf numFmtId="9" fontId="15" fillId="0" borderId="0" xfId="9" applyFont="1" applyFill="1" applyAlignment="1">
      <alignment horizontal="center"/>
    </xf>
    <xf numFmtId="164" fontId="9" fillId="0" borderId="0" xfId="2" applyNumberFormat="1" applyFont="1" applyFill="1" applyAlignment="1">
      <alignment horizontal="center"/>
    </xf>
    <xf numFmtId="164" fontId="9" fillId="0" borderId="0" xfId="2" applyNumberFormat="1" applyFont="1" applyFill="1"/>
    <xf numFmtId="164" fontId="9" fillId="0" borderId="0" xfId="2" applyNumberFormat="1" applyFill="1"/>
    <xf numFmtId="164" fontId="9" fillId="0" borderId="0" xfId="7" applyNumberFormat="1"/>
    <xf numFmtId="164" fontId="9" fillId="7" borderId="0" xfId="2" applyNumberFormat="1" applyFont="1" applyFill="1" applyAlignment="1">
      <alignment horizontal="center"/>
    </xf>
    <xf numFmtId="164" fontId="9" fillId="7" borderId="0" xfId="2" applyNumberFormat="1" applyFill="1"/>
    <xf numFmtId="9" fontId="25" fillId="0" borderId="0" xfId="9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164" fontId="2" fillId="0" borderId="0" xfId="2" applyNumberFormat="1" applyFont="1" applyFill="1"/>
    <xf numFmtId="167" fontId="2" fillId="0" borderId="0" xfId="5" applyNumberFormat="1" applyFont="1" applyFill="1" applyAlignment="1">
      <alignment horizontal="center"/>
    </xf>
    <xf numFmtId="0" fontId="2" fillId="0" borderId="0" xfId="7" applyFont="1"/>
    <xf numFmtId="164" fontId="25" fillId="0" borderId="0" xfId="2" applyNumberFormat="1" applyFont="1" applyFill="1"/>
    <xf numFmtId="49" fontId="2" fillId="4" borderId="0" xfId="7" applyNumberFormat="1" applyFont="1" applyFill="1" applyAlignment="1">
      <alignment horizontal="center"/>
    </xf>
    <xf numFmtId="9" fontId="25" fillId="4" borderId="0" xfId="9" applyFont="1" applyFill="1" applyAlignment="1">
      <alignment horizontal="center"/>
    </xf>
    <xf numFmtId="167" fontId="2" fillId="4" borderId="0" xfId="7" applyNumberFormat="1" applyFont="1" applyFill="1"/>
    <xf numFmtId="0" fontId="2" fillId="4" borderId="0" xfId="7" applyFont="1" applyFill="1"/>
    <xf numFmtId="164" fontId="2" fillId="4" borderId="0" xfId="2" applyNumberFormat="1" applyFont="1" applyFill="1"/>
    <xf numFmtId="0" fontId="2" fillId="3" borderId="0" xfId="7" applyFont="1" applyFill="1" applyAlignment="1">
      <alignment horizontal="right"/>
    </xf>
    <xf numFmtId="168" fontId="18" fillId="3" borderId="0" xfId="9" applyNumberFormat="1" applyFont="1" applyFill="1" applyAlignment="1">
      <alignment horizontal="center"/>
    </xf>
    <xf numFmtId="167" fontId="2" fillId="3" borderId="0" xfId="7" applyNumberFormat="1" applyFont="1" applyFill="1"/>
    <xf numFmtId="0" fontId="9" fillId="3" borderId="0" xfId="7" applyFill="1"/>
    <xf numFmtId="9" fontId="18" fillId="0" borderId="0" xfId="9" applyFont="1" applyFill="1" applyBorder="1" applyAlignment="1">
      <alignment horizontal="center"/>
    </xf>
    <xf numFmtId="167" fontId="2" fillId="0" borderId="0" xfId="7" applyNumberFormat="1" applyFont="1" applyAlignment="1">
      <alignment horizontal="center"/>
    </xf>
    <xf numFmtId="164" fontId="2" fillId="0" borderId="0" xfId="2" applyNumberFormat="1" applyFont="1" applyFill="1" applyBorder="1"/>
    <xf numFmtId="49" fontId="2" fillId="3" borderId="0" xfId="7" applyNumberFormat="1" applyFont="1" applyFill="1" applyAlignment="1">
      <alignment horizontal="right"/>
    </xf>
    <xf numFmtId="10" fontId="18" fillId="3" borderId="0" xfId="9" applyNumberFormat="1" applyFont="1" applyFill="1" applyBorder="1" applyAlignment="1">
      <alignment horizontal="center"/>
    </xf>
    <xf numFmtId="0" fontId="2" fillId="3" borderId="0" xfId="7" applyFont="1" applyFill="1"/>
    <xf numFmtId="164" fontId="2" fillId="3" borderId="0" xfId="2" applyNumberFormat="1" applyFont="1" applyFill="1" applyBorder="1"/>
    <xf numFmtId="9" fontId="15" fillId="0" borderId="0" xfId="9" applyFont="1" applyAlignment="1">
      <alignment horizontal="center"/>
    </xf>
    <xf numFmtId="0" fontId="0" fillId="0" borderId="0" xfId="0" applyAlignment="1">
      <alignment horizontal="left"/>
    </xf>
    <xf numFmtId="165" fontId="15" fillId="0" borderId="0" xfId="0" applyNumberFormat="1" applyFont="1" applyAlignment="1">
      <alignment horizontal="center"/>
    </xf>
    <xf numFmtId="0" fontId="8" fillId="0" borderId="0" xfId="0" applyFont="1"/>
    <xf numFmtId="0" fontId="6" fillId="0" borderId="0" xfId="0" applyFont="1"/>
    <xf numFmtId="0" fontId="2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0" fontId="24" fillId="0" borderId="0" xfId="1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4" fontId="2" fillId="0" borderId="0" xfId="0" applyNumberFormat="1" applyFont="1"/>
    <xf numFmtId="49" fontId="2" fillId="0" borderId="0" xfId="0" applyNumberFormat="1" applyFont="1"/>
    <xf numFmtId="0" fontId="15" fillId="0" borderId="0" xfId="0" applyFont="1"/>
    <xf numFmtId="0" fontId="9" fillId="0" borderId="0" xfId="0" applyFont="1" applyAlignment="1">
      <alignment horizontal="left"/>
    </xf>
    <xf numFmtId="165" fontId="15" fillId="0" borderId="0" xfId="6" applyNumberFormat="1" applyFont="1" applyAlignment="1">
      <alignment horizontal="left"/>
    </xf>
    <xf numFmtId="43" fontId="0" fillId="0" borderId="0" xfId="0" applyNumberFormat="1"/>
    <xf numFmtId="167" fontId="2" fillId="0" borderId="0" xfId="6" applyNumberFormat="1" applyFont="1" applyAlignment="1">
      <alignment horizontal="center"/>
    </xf>
    <xf numFmtId="166" fontId="15" fillId="0" borderId="0" xfId="6" applyNumberFormat="1" applyFont="1" applyAlignment="1">
      <alignment horizontal="center"/>
    </xf>
    <xf numFmtId="0" fontId="27" fillId="0" borderId="0" xfId="0" applyFont="1"/>
    <xf numFmtId="10" fontId="19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7" fontId="30" fillId="0" borderId="0" xfId="6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6" applyNumberFormat="1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7" fontId="2" fillId="0" borderId="3" xfId="6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0" fillId="0" borderId="0" xfId="0" applyNumberFormat="1"/>
    <xf numFmtId="164" fontId="9" fillId="0" borderId="0" xfId="3" applyNumberFormat="1" applyFont="1" applyFill="1" applyAlignment="1">
      <alignment horizontal="right"/>
    </xf>
    <xf numFmtId="164" fontId="9" fillId="0" borderId="0" xfId="0" applyNumberFormat="1" applyFont="1"/>
    <xf numFmtId="167" fontId="2" fillId="0" borderId="0" xfId="6" applyNumberFormat="1" applyFont="1" applyFill="1" applyAlignment="1">
      <alignment horizontal="center"/>
    </xf>
    <xf numFmtId="0" fontId="2" fillId="4" borderId="4" xfId="0" applyFont="1" applyFill="1" applyBorder="1"/>
    <xf numFmtId="49" fontId="2" fillId="4" borderId="1" xfId="0" applyNumberFormat="1" applyFont="1" applyFill="1" applyBorder="1" applyAlignment="1">
      <alignment horizontal="center"/>
    </xf>
    <xf numFmtId="167" fontId="2" fillId="4" borderId="0" xfId="0" applyNumberFormat="1" applyFont="1" applyFill="1"/>
    <xf numFmtId="0" fontId="2" fillId="4" borderId="0" xfId="0" applyFont="1" applyFill="1"/>
    <xf numFmtId="49" fontId="2" fillId="0" borderId="0" xfId="0" applyNumberFormat="1" applyFont="1" applyAlignment="1">
      <alignment horizontal="right"/>
    </xf>
    <xf numFmtId="43" fontId="2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3" applyNumberFormat="1" applyFont="1" applyAlignment="1">
      <alignment horizontal="center"/>
    </xf>
    <xf numFmtId="0" fontId="16" fillId="0" borderId="0" xfId="0" applyFont="1"/>
    <xf numFmtId="43" fontId="16" fillId="0" borderId="0" xfId="0" applyNumberFormat="1" applyFont="1" applyAlignment="1">
      <alignment horizontal="center"/>
    </xf>
    <xf numFmtId="43" fontId="18" fillId="0" borderId="0" xfId="3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7" applyAlignment="1">
      <alignment horizontal="center"/>
    </xf>
    <xf numFmtId="43" fontId="9" fillId="0" borderId="0" xfId="7" applyNumberFormat="1"/>
    <xf numFmtId="44" fontId="0" fillId="0" borderId="0" xfId="5" applyFont="1" applyAlignment="1">
      <alignment horizontal="center"/>
    </xf>
    <xf numFmtId="43" fontId="0" fillId="0" borderId="0" xfId="2" applyFont="1"/>
    <xf numFmtId="9" fontId="0" fillId="0" borderId="0" xfId="9" applyFont="1"/>
    <xf numFmtId="0" fontId="32" fillId="0" borderId="0" xfId="7" applyFont="1"/>
    <xf numFmtId="43" fontId="32" fillId="0" borderId="0" xfId="2" applyFont="1"/>
    <xf numFmtId="0" fontId="33" fillId="0" borderId="0" xfId="7" applyFont="1"/>
    <xf numFmtId="9" fontId="27" fillId="0" borderId="0" xfId="9" applyFont="1"/>
    <xf numFmtId="0" fontId="34" fillId="0" borderId="0" xfId="7" applyFont="1"/>
    <xf numFmtId="43" fontId="34" fillId="0" borderId="0" xfId="2" applyFont="1"/>
    <xf numFmtId="43" fontId="5" fillId="0" borderId="0" xfId="7" applyNumberFormat="1" applyFont="1" applyAlignment="1">
      <alignment horizontal="center"/>
    </xf>
    <xf numFmtId="44" fontId="5" fillId="0" borderId="0" xfId="5" applyFont="1" applyAlignment="1">
      <alignment horizontal="center"/>
    </xf>
    <xf numFmtId="9" fontId="5" fillId="0" borderId="0" xfId="9" applyFont="1" applyAlignment="1">
      <alignment horizontal="center"/>
    </xf>
    <xf numFmtId="0" fontId="35" fillId="0" borderId="0" xfId="7" applyFont="1" applyAlignment="1">
      <alignment horizontal="center"/>
    </xf>
    <xf numFmtId="43" fontId="35" fillId="0" borderId="0" xfId="2" applyFont="1" applyAlignment="1">
      <alignment horizontal="center"/>
    </xf>
    <xf numFmtId="0" fontId="2" fillId="0" borderId="0" xfId="7" quotePrefix="1" applyFont="1" applyAlignment="1">
      <alignment horizontal="center"/>
    </xf>
    <xf numFmtId="44" fontId="2" fillId="0" borderId="0" xfId="5" applyFont="1" applyAlignment="1">
      <alignment horizontal="center"/>
    </xf>
    <xf numFmtId="9" fontId="2" fillId="0" borderId="0" xfId="9" applyFont="1" applyBorder="1"/>
    <xf numFmtId="0" fontId="36" fillId="0" borderId="0" xfId="7" applyFont="1" applyAlignment="1">
      <alignment horizontal="center"/>
    </xf>
    <xf numFmtId="0" fontId="2" fillId="0" borderId="3" xfId="7" applyFont="1" applyBorder="1"/>
    <xf numFmtId="0" fontId="2" fillId="0" borderId="3" xfId="7" quotePrefix="1" applyFont="1" applyBorder="1" applyAlignment="1">
      <alignment horizontal="center"/>
    </xf>
    <xf numFmtId="44" fontId="2" fillId="0" borderId="3" xfId="5" applyFont="1" applyBorder="1" applyAlignment="1">
      <alignment horizontal="center"/>
    </xf>
    <xf numFmtId="9" fontId="2" fillId="0" borderId="3" xfId="9" applyFont="1" applyBorder="1"/>
    <xf numFmtId="0" fontId="36" fillId="0" borderId="3" xfId="7" applyFont="1" applyBorder="1"/>
    <xf numFmtId="43" fontId="36" fillId="0" borderId="3" xfId="2" applyFont="1" applyBorder="1"/>
    <xf numFmtId="0" fontId="36" fillId="0" borderId="0" xfId="7" applyFont="1"/>
    <xf numFmtId="43" fontId="32" fillId="0" borderId="0" xfId="2" applyFont="1" applyFill="1"/>
    <xf numFmtId="0" fontId="2" fillId="4" borderId="0" xfId="7" applyFont="1" applyFill="1" applyAlignment="1">
      <alignment horizontal="center"/>
    </xf>
    <xf numFmtId="0" fontId="36" fillId="4" borderId="0" xfId="7" applyFont="1" applyFill="1"/>
    <xf numFmtId="43" fontId="36" fillId="4" borderId="0" xfId="2" applyFont="1" applyFill="1"/>
    <xf numFmtId="49" fontId="2" fillId="0" borderId="0" xfId="7" applyNumberFormat="1" applyFont="1" applyAlignment="1">
      <alignment horizontal="center"/>
    </xf>
    <xf numFmtId="0" fontId="27" fillId="0" borderId="0" xfId="7" applyFont="1" applyAlignment="1">
      <alignment horizontal="center"/>
    </xf>
    <xf numFmtId="164" fontId="15" fillId="0" borderId="0" xfId="2" applyNumberFormat="1" applyFont="1" applyFill="1"/>
    <xf numFmtId="164" fontId="9" fillId="0" borderId="0" xfId="5" applyNumberFormat="1" applyFont="1" applyFill="1" applyAlignment="1">
      <alignment horizontal="center"/>
    </xf>
    <xf numFmtId="164" fontId="32" fillId="0" borderId="0" xfId="9" applyNumberFormat="1" applyFont="1" applyFill="1"/>
    <xf numFmtId="164" fontId="0" fillId="0" borderId="0" xfId="5" applyNumberFormat="1" applyFont="1" applyFill="1" applyAlignment="1">
      <alignment horizontal="center"/>
    </xf>
    <xf numFmtId="164" fontId="2" fillId="4" borderId="0" xfId="7" applyNumberFormat="1" applyFont="1" applyFill="1"/>
    <xf numFmtId="164" fontId="2" fillId="4" borderId="0" xfId="9" applyNumberFormat="1" applyFont="1" applyFill="1"/>
    <xf numFmtId="165" fontId="15" fillId="0" borderId="0" xfId="7" applyNumberFormat="1" applyFont="1" applyAlignment="1">
      <alignment horizontal="center"/>
    </xf>
    <xf numFmtId="43" fontId="9" fillId="0" borderId="0" xfId="2"/>
    <xf numFmtId="49" fontId="9" fillId="0" borderId="0" xfId="0" applyNumberFormat="1" applyFont="1"/>
    <xf numFmtId="164" fontId="37" fillId="0" borderId="0" xfId="1" applyNumberFormat="1" applyFont="1" applyFill="1" applyAlignment="1">
      <alignment horizontal="center"/>
    </xf>
    <xf numFmtId="165" fontId="39" fillId="0" borderId="0" xfId="1" applyNumberFormat="1" applyFont="1" applyFill="1" applyBorder="1" applyAlignment="1"/>
    <xf numFmtId="0" fontId="25" fillId="0" borderId="0" xfId="0" applyFont="1" applyAlignment="1">
      <alignment horizontal="left"/>
    </xf>
    <xf numFmtId="10" fontId="19" fillId="0" borderId="2" xfId="8" applyNumberFormat="1" applyFont="1" applyFill="1" applyBorder="1" applyAlignment="1">
      <alignment horizontal="center"/>
    </xf>
    <xf numFmtId="0" fontId="24" fillId="0" borderId="0" xfId="7" applyFont="1" applyAlignment="1">
      <alignment horizontal="left"/>
    </xf>
    <xf numFmtId="0" fontId="24" fillId="0" borderId="0" xfId="7" applyFont="1" applyAlignment="1">
      <alignment horizontal="center"/>
    </xf>
    <xf numFmtId="9" fontId="0" fillId="0" borderId="0" xfId="9" applyFont="1" applyFill="1" applyBorder="1"/>
    <xf numFmtId="43" fontId="32" fillId="0" borderId="0" xfId="2" applyFont="1" applyFill="1" applyBorder="1"/>
    <xf numFmtId="164" fontId="57" fillId="0" borderId="0" xfId="1" applyNumberFormat="1" applyFont="1" applyFill="1"/>
    <xf numFmtId="164" fontId="9" fillId="7" borderId="0" xfId="1" applyNumberFormat="1" applyFont="1" applyFill="1"/>
    <xf numFmtId="43" fontId="9" fillId="0" borderId="0" xfId="2" applyFont="1"/>
    <xf numFmtId="165" fontId="25" fillId="0" borderId="0" xfId="0" applyNumberFormat="1" applyFont="1"/>
    <xf numFmtId="164" fontId="21" fillId="0" borderId="0" xfId="2" applyNumberFormat="1" applyFont="1"/>
    <xf numFmtId="43" fontId="21" fillId="0" borderId="0" xfId="2" applyFont="1"/>
    <xf numFmtId="0" fontId="43" fillId="0" borderId="0" xfId="0" applyFont="1"/>
    <xf numFmtId="43" fontId="43" fillId="0" borderId="0" xfId="2" applyFont="1"/>
    <xf numFmtId="43" fontId="13" fillId="0" borderId="0" xfId="2" applyFont="1"/>
    <xf numFmtId="0" fontId="2" fillId="5" borderId="5" xfId="0" applyFont="1" applyFill="1" applyBorder="1"/>
    <xf numFmtId="43" fontId="2" fillId="5" borderId="6" xfId="2" applyFont="1" applyFill="1" applyBorder="1"/>
    <xf numFmtId="10" fontId="9" fillId="0" borderId="0" xfId="9" applyNumberFormat="1" applyFont="1" applyFill="1" applyBorder="1"/>
    <xf numFmtId="0" fontId="2" fillId="5" borderId="7" xfId="0" applyFont="1" applyFill="1" applyBorder="1"/>
    <xf numFmtId="10" fontId="9" fillId="0" borderId="0" xfId="0" applyNumberFormat="1" applyFont="1"/>
    <xf numFmtId="164" fontId="0" fillId="0" borderId="8" xfId="0" applyNumberFormat="1" applyBorder="1"/>
    <xf numFmtId="0" fontId="0" fillId="0" borderId="8" xfId="0" applyBorder="1"/>
    <xf numFmtId="10" fontId="2" fillId="0" borderId="0" xfId="0" applyNumberFormat="1" applyFont="1"/>
    <xf numFmtId="164" fontId="21" fillId="0" borderId="0" xfId="2" applyNumberFormat="1" applyFont="1" applyFill="1" applyBorder="1"/>
    <xf numFmtId="43" fontId="6" fillId="0" borderId="0" xfId="2" applyFont="1"/>
    <xf numFmtId="164" fontId="13" fillId="0" borderId="0" xfId="2" applyNumberFormat="1" applyFont="1" applyFill="1" applyBorder="1"/>
    <xf numFmtId="0" fontId="7" fillId="7" borderId="0" xfId="0" applyFont="1" applyFill="1"/>
    <xf numFmtId="0" fontId="0" fillId="7" borderId="0" xfId="0" applyFill="1"/>
    <xf numFmtId="0" fontId="4" fillId="0" borderId="0" xfId="0" applyFont="1" applyAlignment="1">
      <alignment horizontal="right"/>
    </xf>
    <xf numFmtId="43" fontId="4" fillId="0" borderId="0" xfId="2" applyFont="1" applyAlignment="1">
      <alignment horizontal="right"/>
    </xf>
    <xf numFmtId="0" fontId="4" fillId="0" borderId="0" xfId="0" applyFont="1"/>
    <xf numFmtId="164" fontId="46" fillId="0" borderId="0" xfId="2" applyNumberFormat="1" applyFont="1"/>
    <xf numFmtId="43" fontId="46" fillId="0" borderId="0" xfId="2" applyFont="1"/>
    <xf numFmtId="43" fontId="58" fillId="0" borderId="0" xfId="2" applyFont="1" applyAlignment="1">
      <alignment horizontal="center"/>
    </xf>
    <xf numFmtId="43" fontId="0" fillId="0" borderId="0" xfId="2" applyFont="1" applyAlignment="1">
      <alignment horizontal="left"/>
    </xf>
    <xf numFmtId="43" fontId="58" fillId="0" borderId="0" xfId="2" applyFont="1" applyFill="1" applyBorder="1" applyAlignment="1">
      <alignment horizontal="center"/>
    </xf>
    <xf numFmtId="43" fontId="9" fillId="0" borderId="0" xfId="2" applyFont="1" applyAlignment="1">
      <alignment horizontal="left"/>
    </xf>
    <xf numFmtId="43" fontId="57" fillId="0" borderId="0" xfId="2" applyFont="1" applyFill="1" applyBorder="1" applyAlignment="1">
      <alignment horizontal="center"/>
    </xf>
    <xf numFmtId="43" fontId="57" fillId="0" borderId="0" xfId="2" applyFont="1" applyAlignment="1">
      <alignment horizontal="center"/>
    </xf>
    <xf numFmtId="43" fontId="2" fillId="0" borderId="0" xfId="2" applyFont="1" applyAlignment="1">
      <alignment horizontal="left"/>
    </xf>
    <xf numFmtId="43" fontId="2" fillId="0" borderId="9" xfId="0" applyNumberFormat="1" applyFont="1" applyBorder="1"/>
    <xf numFmtId="43" fontId="2" fillId="0" borderId="10" xfId="0" applyNumberFormat="1" applyFont="1" applyBorder="1"/>
    <xf numFmtId="164" fontId="59" fillId="0" borderId="0" xfId="2" applyNumberFormat="1" applyFont="1"/>
    <xf numFmtId="43" fontId="9" fillId="0" borderId="0" xfId="2" applyFont="1" applyFill="1" applyBorder="1" applyAlignment="1">
      <alignment horizontal="center"/>
    </xf>
    <xf numFmtId="9" fontId="9" fillId="0" borderId="0" xfId="2" applyNumberFormat="1" applyFont="1" applyFill="1" applyBorder="1" applyAlignment="1">
      <alignment horizontal="center"/>
    </xf>
    <xf numFmtId="43" fontId="24" fillId="0" borderId="0" xfId="0" applyNumberFormat="1" applyFont="1"/>
    <xf numFmtId="164" fontId="14" fillId="0" borderId="0" xfId="2" applyNumberFormat="1" applyFont="1"/>
    <xf numFmtId="0" fontId="19" fillId="8" borderId="11" xfId="0" applyFont="1" applyFill="1" applyBorder="1"/>
    <xf numFmtId="43" fontId="24" fillId="8" borderId="7" xfId="2" applyFont="1" applyFill="1" applyBorder="1"/>
    <xf numFmtId="43" fontId="9" fillId="0" borderId="12" xfId="2" applyFont="1" applyBorder="1"/>
    <xf numFmtId="0" fontId="0" fillId="0" borderId="5" xfId="0" applyBorder="1"/>
    <xf numFmtId="0" fontId="0" fillId="0" borderId="13" xfId="0" applyBorder="1"/>
    <xf numFmtId="164" fontId="7" fillId="9" borderId="2" xfId="2" applyNumberFormat="1" applyFont="1" applyFill="1" applyBorder="1"/>
    <xf numFmtId="0" fontId="0" fillId="0" borderId="6" xfId="0" applyBorder="1"/>
    <xf numFmtId="43" fontId="9" fillId="0" borderId="0" xfId="2" applyFont="1" applyBorder="1"/>
    <xf numFmtId="0" fontId="2" fillId="6" borderId="14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2" fillId="6" borderId="7" xfId="0" applyFont="1" applyFill="1" applyBorder="1"/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60" fillId="0" borderId="0" xfId="2" applyNumberFormat="1" applyFont="1" applyFill="1" applyBorder="1"/>
    <xf numFmtId="164" fontId="7" fillId="9" borderId="11" xfId="2" applyNumberFormat="1" applyFont="1" applyFill="1" applyBorder="1"/>
    <xf numFmtId="0" fontId="2" fillId="6" borderId="2" xfId="0" applyFont="1" applyFill="1" applyBorder="1"/>
    <xf numFmtId="164" fontId="24" fillId="8" borderId="2" xfId="2" applyNumberFormat="1" applyFont="1" applyFill="1" applyBorder="1"/>
    <xf numFmtId="0" fontId="24" fillId="8" borderId="2" xfId="0" applyFont="1" applyFill="1" applyBorder="1"/>
    <xf numFmtId="0" fontId="0" fillId="0" borderId="15" xfId="0" applyBorder="1"/>
    <xf numFmtId="0" fontId="0" fillId="0" borderId="3" xfId="0" applyBorder="1"/>
    <xf numFmtId="43" fontId="9" fillId="0" borderId="3" xfId="2" applyFont="1" applyBorder="1"/>
    <xf numFmtId="0" fontId="0" fillId="0" borderId="16" xfId="0" applyBorder="1"/>
    <xf numFmtId="0" fontId="44" fillId="0" borderId="0" xfId="0" applyFont="1"/>
    <xf numFmtId="0" fontId="25" fillId="0" borderId="3" xfId="7" applyFont="1" applyBorder="1"/>
    <xf numFmtId="0" fontId="15" fillId="0" borderId="0" xfId="0" applyFont="1" applyAlignment="1">
      <alignment horizontal="left"/>
    </xf>
    <xf numFmtId="43" fontId="9" fillId="0" borderId="2" xfId="0" applyNumberFormat="1" applyFont="1" applyBorder="1"/>
    <xf numFmtId="43" fontId="9" fillId="0" borderId="9" xfId="0" applyNumberFormat="1" applyFont="1" applyBorder="1"/>
    <xf numFmtId="43" fontId="9" fillId="0" borderId="10" xfId="0" applyNumberFormat="1" applyFont="1" applyBorder="1"/>
    <xf numFmtId="0" fontId="9" fillId="0" borderId="7" xfId="0" applyFont="1" applyBorder="1"/>
    <xf numFmtId="43" fontId="2" fillId="10" borderId="2" xfId="0" applyNumberFormat="1" applyFont="1" applyFill="1" applyBorder="1"/>
    <xf numFmtId="0" fontId="2" fillId="10" borderId="7" xfId="0" applyFont="1" applyFill="1" applyBorder="1"/>
    <xf numFmtId="164" fontId="2" fillId="0" borderId="0" xfId="1" applyNumberFormat="1" applyFont="1" applyBorder="1"/>
    <xf numFmtId="0" fontId="3" fillId="0" borderId="0" xfId="0" applyFont="1"/>
    <xf numFmtId="164" fontId="15" fillId="0" borderId="0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23" fillId="0" borderId="0" xfId="1" applyNumberFormat="1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164" fontId="9" fillId="0" borderId="3" xfId="1" applyNumberFormat="1" applyFont="1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0" fillId="0" borderId="0" xfId="1" applyNumberFormat="1" applyFont="1" applyBorder="1"/>
    <xf numFmtId="164" fontId="3" fillId="0" borderId="0" xfId="1" applyNumberFormat="1" applyFont="1" applyBorder="1"/>
    <xf numFmtId="164" fontId="7" fillId="0" borderId="0" xfId="1" applyNumberFormat="1" applyFont="1" applyBorder="1"/>
    <xf numFmtId="0" fontId="7" fillId="0" borderId="0" xfId="0" applyFont="1"/>
    <xf numFmtId="164" fontId="15" fillId="0" borderId="0" xfId="1" applyNumberFormat="1" applyFont="1" applyBorder="1"/>
    <xf numFmtId="0" fontId="0" fillId="0" borderId="3" xfId="0" applyBorder="1" applyAlignment="1">
      <alignment horizontal="left"/>
    </xf>
    <xf numFmtId="164" fontId="15" fillId="0" borderId="3" xfId="1" applyNumberFormat="1" applyFont="1" applyFill="1" applyBorder="1"/>
    <xf numFmtId="164" fontId="47" fillId="0" borderId="0" xfId="1" applyNumberFormat="1" applyFont="1" applyFill="1" applyBorder="1" applyAlignment="1">
      <alignment horizontal="center"/>
    </xf>
    <xf numFmtId="164" fontId="1" fillId="0" borderId="0" xfId="1" applyNumberFormat="1" applyBorder="1"/>
    <xf numFmtId="10" fontId="25" fillId="11" borderId="2" xfId="9" applyNumberFormat="1" applyFont="1" applyFill="1" applyBorder="1"/>
    <xf numFmtId="0" fontId="15" fillId="11" borderId="7" xfId="0" applyFont="1" applyFill="1" applyBorder="1"/>
    <xf numFmtId="10" fontId="15" fillId="0" borderId="0" xfId="0" applyNumberFormat="1" applyFont="1" applyAlignment="1">
      <alignment horizontal="left"/>
    </xf>
    <xf numFmtId="164" fontId="7" fillId="10" borderId="2" xfId="1" applyNumberFormat="1" applyFont="1" applyFill="1" applyBorder="1"/>
    <xf numFmtId="164" fontId="9" fillId="0" borderId="8" xfId="2" applyNumberFormat="1" applyFont="1" applyBorder="1"/>
    <xf numFmtId="164" fontId="57" fillId="0" borderId="0" xfId="0" applyNumberFormat="1" applyFont="1"/>
    <xf numFmtId="164" fontId="61" fillId="0" borderId="0" xfId="2" applyNumberFormat="1" applyFont="1"/>
    <xf numFmtId="9" fontId="21" fillId="0" borderId="0" xfId="8" applyFont="1"/>
    <xf numFmtId="9" fontId="61" fillId="0" borderId="0" xfId="8" applyFont="1"/>
    <xf numFmtId="0" fontId="2" fillId="0" borderId="6" xfId="0" applyFont="1" applyBorder="1"/>
    <xf numFmtId="164" fontId="21" fillId="0" borderId="18" xfId="2" applyNumberFormat="1" applyFont="1" applyBorder="1"/>
    <xf numFmtId="164" fontId="19" fillId="8" borderId="2" xfId="0" applyNumberFormat="1" applyFont="1" applyFill="1" applyBorder="1"/>
    <xf numFmtId="164" fontId="24" fillId="12" borderId="18" xfId="2" applyNumberFormat="1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165" fontId="48" fillId="0" borderId="0" xfId="7" applyNumberFormat="1" applyFont="1" applyAlignment="1">
      <alignment horizontal="center"/>
    </xf>
    <xf numFmtId="0" fontId="42" fillId="0" borderId="0" xfId="7" applyFont="1"/>
    <xf numFmtId="10" fontId="49" fillId="0" borderId="0" xfId="8" applyNumberFormat="1" applyFont="1" applyFill="1" applyBorder="1" applyAlignment="1">
      <alignment horizontal="center"/>
    </xf>
    <xf numFmtId="0" fontId="40" fillId="0" borderId="0" xfId="7" applyFont="1" applyAlignment="1">
      <alignment horizontal="center"/>
    </xf>
    <xf numFmtId="0" fontId="42" fillId="0" borderId="0" xfId="7" applyFont="1" applyAlignment="1">
      <alignment horizontal="center"/>
    </xf>
    <xf numFmtId="0" fontId="40" fillId="0" borderId="3" xfId="0" applyFont="1" applyBorder="1" applyAlignment="1">
      <alignment horizontal="center"/>
    </xf>
    <xf numFmtId="49" fontId="40" fillId="0" borderId="0" xfId="0" applyNumberFormat="1" applyFont="1" applyAlignment="1">
      <alignment horizontal="center"/>
    </xf>
    <xf numFmtId="49" fontId="42" fillId="0" borderId="0" xfId="7" applyNumberFormat="1" applyFont="1" applyAlignment="1">
      <alignment horizontal="center"/>
    </xf>
    <xf numFmtId="0" fontId="40" fillId="0" borderId="0" xfId="7" applyFont="1"/>
    <xf numFmtId="0" fontId="62" fillId="0" borderId="0" xfId="0" applyFont="1"/>
    <xf numFmtId="0" fontId="63" fillId="0" borderId="0" xfId="0" applyFont="1"/>
    <xf numFmtId="0" fontId="62" fillId="0" borderId="19" xfId="0" applyFont="1" applyBorder="1" applyAlignment="1">
      <alignment horizontal="center"/>
    </xf>
    <xf numFmtId="167" fontId="64" fillId="0" borderId="0" xfId="5" applyNumberFormat="1" applyFont="1"/>
    <xf numFmtId="167" fontId="64" fillId="0" borderId="19" xfId="5" applyNumberFormat="1" applyFont="1" applyBorder="1"/>
    <xf numFmtId="167" fontId="62" fillId="0" borderId="19" xfId="5" applyNumberFormat="1" applyFont="1" applyBorder="1"/>
    <xf numFmtId="167" fontId="62" fillId="0" borderId="0" xfId="5" applyNumberFormat="1" applyFont="1"/>
    <xf numFmtId="167" fontId="64" fillId="0" borderId="0" xfId="5" applyNumberFormat="1" applyFont="1" applyFill="1"/>
    <xf numFmtId="167" fontId="62" fillId="0" borderId="1" xfId="5" applyNumberFormat="1" applyFont="1" applyBorder="1"/>
    <xf numFmtId="164" fontId="63" fillId="0" borderId="0" xfId="1" applyNumberFormat="1" applyFont="1"/>
    <xf numFmtId="164" fontId="19" fillId="0" borderId="0" xfId="0" applyNumberFormat="1" applyFont="1"/>
    <xf numFmtId="164" fontId="0" fillId="0" borderId="0" xfId="1" applyNumberFormat="1" applyFont="1"/>
    <xf numFmtId="164" fontId="43" fillId="0" borderId="0" xfId="1" applyNumberFormat="1" applyFont="1"/>
    <xf numFmtId="164" fontId="6" fillId="0" borderId="0" xfId="1" applyNumberFormat="1" applyFont="1"/>
    <xf numFmtId="164" fontId="4" fillId="0" borderId="0" xfId="1" applyNumberFormat="1" applyFont="1"/>
    <xf numFmtId="164" fontId="9" fillId="0" borderId="0" xfId="1" applyNumberFormat="1" applyFont="1"/>
    <xf numFmtId="0" fontId="38" fillId="7" borderId="0" xfId="7" applyFont="1" applyFill="1"/>
    <xf numFmtId="43" fontId="57" fillId="0" borderId="0" xfId="1" applyFont="1" applyFill="1"/>
    <xf numFmtId="43" fontId="52" fillId="7" borderId="0" xfId="2" applyFont="1" applyFill="1" applyAlignment="1"/>
    <xf numFmtId="43" fontId="9" fillId="0" borderId="0" xfId="1" applyFont="1" applyFill="1"/>
    <xf numFmtId="164" fontId="2" fillId="0" borderId="1" xfId="2" applyNumberFormat="1" applyFont="1" applyBorder="1"/>
    <xf numFmtId="164" fontId="25" fillId="0" borderId="0" xfId="2" applyNumberFormat="1" applyFont="1" applyFill="1" applyBorder="1" applyAlignment="1">
      <alignment horizontal="center"/>
    </xf>
    <xf numFmtId="9" fontId="65" fillId="0" borderId="0" xfId="0" applyNumberFormat="1" applyFont="1" applyAlignment="1">
      <alignment horizontal="center"/>
    </xf>
    <xf numFmtId="43" fontId="2" fillId="5" borderId="20" xfId="2" applyFont="1" applyFill="1" applyBorder="1"/>
    <xf numFmtId="164" fontId="45" fillId="5" borderId="13" xfId="0" applyNumberFormat="1" applyFont="1" applyFill="1" applyBorder="1"/>
    <xf numFmtId="164" fontId="2" fillId="5" borderId="14" xfId="2" applyNumberFormat="1" applyFont="1" applyFill="1" applyBorder="1"/>
    <xf numFmtId="43" fontId="0" fillId="0" borderId="0" xfId="1" applyFont="1" applyBorder="1"/>
    <xf numFmtId="10" fontId="18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4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164" fontId="2" fillId="11" borderId="0" xfId="0" applyNumberFormat="1" applyFont="1" applyFill="1"/>
    <xf numFmtId="164" fontId="2" fillId="11" borderId="2" xfId="0" applyNumberFormat="1" applyFont="1" applyFill="1" applyBorder="1"/>
    <xf numFmtId="164" fontId="2" fillId="4" borderId="2" xfId="0" applyNumberFormat="1" applyFont="1" applyFill="1" applyBorder="1"/>
    <xf numFmtId="164" fontId="9" fillId="0" borderId="0" xfId="1" applyNumberFormat="1" applyFont="1" applyFill="1"/>
    <xf numFmtId="166" fontId="25" fillId="0" borderId="0" xfId="5" applyNumberFormat="1" applyFont="1" applyAlignment="1">
      <alignment horizontal="center"/>
    </xf>
    <xf numFmtId="167" fontId="30" fillId="0" borderId="0" xfId="5" applyNumberFormat="1" applyFont="1" applyAlignment="1">
      <alignment horizontal="center"/>
    </xf>
    <xf numFmtId="167" fontId="2" fillId="6" borderId="0" xfId="5" applyNumberFormat="1" applyFont="1" applyFill="1" applyAlignment="1">
      <alignment horizontal="center"/>
    </xf>
    <xf numFmtId="167" fontId="2" fillId="0" borderId="0" xfId="5" applyNumberFormat="1" applyFont="1" applyAlignment="1">
      <alignment horizontal="center"/>
    </xf>
    <xf numFmtId="43" fontId="36" fillId="0" borderId="0" xfId="1" applyFont="1" applyFill="1"/>
    <xf numFmtId="43" fontId="2" fillId="0" borderId="0" xfId="2" applyFont="1" applyFill="1" applyAlignment="1">
      <alignment horizontal="left"/>
    </xf>
    <xf numFmtId="43" fontId="58" fillId="0" borderId="0" xfId="2" applyFont="1" applyFill="1" applyAlignment="1">
      <alignment horizontal="center"/>
    </xf>
    <xf numFmtId="10" fontId="0" fillId="0" borderId="0" xfId="9" applyNumberFormat="1" applyFont="1"/>
    <xf numFmtId="43" fontId="2" fillId="10" borderId="2" xfId="2" applyFont="1" applyFill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3" fontId="2" fillId="0" borderId="2" xfId="2" applyFont="1" applyBorder="1"/>
    <xf numFmtId="10" fontId="2" fillId="0" borderId="2" xfId="9" applyNumberFormat="1" applyFont="1" applyBorder="1"/>
    <xf numFmtId="43" fontId="2" fillId="0" borderId="0" xfId="1" applyFont="1" applyFill="1"/>
    <xf numFmtId="43" fontId="57" fillId="0" borderId="0" xfId="2" applyFont="1" applyFill="1"/>
    <xf numFmtId="0" fontId="57" fillId="0" borderId="0" xfId="7" applyFont="1"/>
    <xf numFmtId="43" fontId="31" fillId="7" borderId="19" xfId="2" applyFont="1" applyFill="1" applyBorder="1" applyAlignment="1">
      <alignment horizontal="left"/>
    </xf>
    <xf numFmtId="43" fontId="57" fillId="7" borderId="19" xfId="2" applyFont="1" applyFill="1" applyBorder="1" applyAlignment="1">
      <alignment horizontal="center"/>
    </xf>
    <xf numFmtId="165" fontId="0" fillId="0" borderId="0" xfId="0" applyNumberFormat="1"/>
    <xf numFmtId="0" fontId="25" fillId="10" borderId="0" xfId="7" applyFont="1" applyFill="1" applyAlignment="1">
      <alignment horizontal="left"/>
    </xf>
    <xf numFmtId="0" fontId="0" fillId="0" borderId="1" xfId="0" applyBorder="1"/>
    <xf numFmtId="0" fontId="9" fillId="7" borderId="0" xfId="0" applyFont="1" applyFill="1"/>
    <xf numFmtId="10" fontId="24" fillId="0" borderId="0" xfId="8" applyNumberFormat="1" applyFont="1" applyFill="1" applyBorder="1" applyAlignment="1">
      <alignment horizontal="center"/>
    </xf>
    <xf numFmtId="43" fontId="2" fillId="0" borderId="2" xfId="0" applyNumberFormat="1" applyFont="1" applyBorder="1"/>
    <xf numFmtId="0" fontId="2" fillId="0" borderId="7" xfId="0" applyFont="1" applyBorder="1"/>
    <xf numFmtId="43" fontId="57" fillId="0" borderId="0" xfId="2" applyFont="1" applyFill="1" applyAlignment="1">
      <alignment horizontal="center"/>
    </xf>
    <xf numFmtId="164" fontId="58" fillId="0" borderId="0" xfId="2" applyNumberFormat="1" applyFont="1" applyFill="1" applyAlignment="1">
      <alignment horizontal="center"/>
    </xf>
    <xf numFmtId="43" fontId="9" fillId="0" borderId="10" xfId="2" applyFont="1" applyFill="1" applyBorder="1"/>
    <xf numFmtId="43" fontId="9" fillId="0" borderId="23" xfId="2" applyFont="1" applyFill="1" applyBorder="1"/>
    <xf numFmtId="164" fontId="9" fillId="0" borderId="0" xfId="1" applyNumberFormat="1" applyFont="1" applyFill="1" applyAlignment="1">
      <alignment horizontal="right"/>
    </xf>
    <xf numFmtId="0" fontId="15" fillId="0" borderId="24" xfId="7" applyFont="1" applyBorder="1"/>
    <xf numFmtId="43" fontId="15" fillId="0" borderId="25" xfId="7" applyNumberFormat="1" applyFont="1" applyBorder="1"/>
    <xf numFmtId="0" fontId="15" fillId="0" borderId="26" xfId="7" applyFont="1" applyBorder="1"/>
    <xf numFmtId="43" fontId="15" fillId="0" borderId="27" xfId="7" applyNumberFormat="1" applyFont="1" applyBorder="1"/>
    <xf numFmtId="0" fontId="15" fillId="0" borderId="28" xfId="7" applyFont="1" applyBorder="1"/>
    <xf numFmtId="43" fontId="15" fillId="0" borderId="29" xfId="7" applyNumberFormat="1" applyFont="1" applyBorder="1"/>
    <xf numFmtId="0" fontId="2" fillId="11" borderId="0" xfId="0" applyFont="1" applyFill="1" applyAlignment="1">
      <alignment horizontal="center"/>
    </xf>
    <xf numFmtId="164" fontId="15" fillId="0" borderId="0" xfId="0" applyNumberFormat="1" applyFont="1"/>
    <xf numFmtId="164" fontId="2" fillId="0" borderId="2" xfId="0" applyNumberFormat="1" applyFont="1" applyBorder="1"/>
    <xf numFmtId="0" fontId="2" fillId="7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164" fontId="2" fillId="12" borderId="0" xfId="0" applyNumberFormat="1" applyFont="1" applyFill="1"/>
    <xf numFmtId="164" fontId="2" fillId="12" borderId="2" xfId="0" applyNumberFormat="1" applyFont="1" applyFill="1" applyBorder="1"/>
    <xf numFmtId="43" fontId="19" fillId="8" borderId="14" xfId="0" applyNumberFormat="1" applyFont="1" applyFill="1" applyBorder="1"/>
    <xf numFmtId="164" fontId="2" fillId="13" borderId="1" xfId="2" applyNumberFormat="1" applyFont="1" applyFill="1" applyBorder="1"/>
    <xf numFmtId="0" fontId="2" fillId="13" borderId="0" xfId="0" applyFont="1" applyFill="1" applyAlignment="1">
      <alignment horizontal="left"/>
    </xf>
    <xf numFmtId="43" fontId="2" fillId="0" borderId="0" xfId="1" applyFont="1" applyAlignment="1">
      <alignment horizontal="center"/>
    </xf>
    <xf numFmtId="0" fontId="32" fillId="0" borderId="0" xfId="0" applyFont="1"/>
    <xf numFmtId="43" fontId="32" fillId="0" borderId="0" xfId="1" applyFont="1"/>
    <xf numFmtId="0" fontId="27" fillId="0" borderId="0" xfId="0" applyFont="1" applyAlignment="1">
      <alignment horizontal="center"/>
    </xf>
    <xf numFmtId="0" fontId="34" fillId="0" borderId="0" xfId="0" applyFont="1"/>
    <xf numFmtId="43" fontId="34" fillId="0" borderId="0" xfId="1" applyFont="1"/>
    <xf numFmtId="0" fontId="35" fillId="0" borderId="0" xfId="0" applyFont="1" applyAlignment="1">
      <alignment horizontal="center"/>
    </xf>
    <xf numFmtId="43" fontId="35" fillId="0" borderId="0" xfId="1" applyFont="1" applyAlignment="1">
      <alignment horizontal="center"/>
    </xf>
    <xf numFmtId="0" fontId="36" fillId="0" borderId="0" xfId="0" applyFont="1" applyAlignment="1">
      <alignment horizontal="center"/>
    </xf>
    <xf numFmtId="43" fontId="65" fillId="0" borderId="0" xfId="1" applyFont="1"/>
    <xf numFmtId="0" fontId="36" fillId="0" borderId="3" xfId="0" applyFont="1" applyBorder="1"/>
    <xf numFmtId="43" fontId="36" fillId="0" borderId="3" xfId="1" applyFont="1" applyBorder="1"/>
    <xf numFmtId="43" fontId="32" fillId="0" borderId="0" xfId="0" applyNumberFormat="1" applyFont="1"/>
    <xf numFmtId="0" fontId="36" fillId="0" borderId="0" xfId="0" applyFont="1"/>
    <xf numFmtId="43" fontId="36" fillId="3" borderId="4" xfId="1" applyFont="1" applyFill="1" applyBorder="1"/>
    <xf numFmtId="0" fontId="36" fillId="3" borderId="9" xfId="0" applyFont="1" applyFill="1" applyBorder="1"/>
    <xf numFmtId="43" fontId="9" fillId="0" borderId="23" xfId="0" applyNumberFormat="1" applyFont="1" applyBorder="1"/>
    <xf numFmtId="43" fontId="9" fillId="0" borderId="30" xfId="0" applyNumberFormat="1" applyFont="1" applyBorder="1"/>
    <xf numFmtId="43" fontId="9" fillId="0" borderId="31" xfId="0" applyNumberFormat="1" applyFont="1" applyBorder="1"/>
    <xf numFmtId="0" fontId="2" fillId="4" borderId="0" xfId="0" applyFont="1" applyFill="1" applyAlignment="1">
      <alignment horizontal="center"/>
    </xf>
    <xf numFmtId="49" fontId="2" fillId="4" borderId="0" xfId="0" applyNumberFormat="1" applyFont="1" applyFill="1" applyAlignment="1">
      <alignment horizontal="center"/>
    </xf>
    <xf numFmtId="0" fontId="36" fillId="4" borderId="0" xfId="0" applyFont="1" applyFill="1"/>
    <xf numFmtId="43" fontId="36" fillId="4" borderId="0" xfId="1" applyFont="1" applyFill="1"/>
    <xf numFmtId="9" fontId="32" fillId="0" borderId="0" xfId="1" applyNumberFormat="1" applyFont="1" applyFill="1"/>
    <xf numFmtId="0" fontId="32" fillId="0" borderId="0" xfId="0" applyFont="1" applyAlignment="1">
      <alignment horizontal="left"/>
    </xf>
    <xf numFmtId="43" fontId="32" fillId="0" borderId="0" xfId="1" applyFont="1" applyFill="1"/>
    <xf numFmtId="43" fontId="15" fillId="0" borderId="23" xfId="0" applyNumberFormat="1" applyFont="1" applyBorder="1"/>
    <xf numFmtId="43" fontId="15" fillId="0" borderId="31" xfId="0" applyNumberFormat="1" applyFont="1" applyBorder="1"/>
    <xf numFmtId="49" fontId="2" fillId="4" borderId="0" xfId="0" applyNumberFormat="1" applyFont="1" applyFill="1" applyAlignment="1">
      <alignment horizontal="right"/>
    </xf>
    <xf numFmtId="0" fontId="36" fillId="4" borderId="0" xfId="0" applyFont="1" applyFill="1" applyAlignment="1">
      <alignment horizontal="right"/>
    </xf>
    <xf numFmtId="43" fontId="36" fillId="4" borderId="0" xfId="1" applyFont="1" applyFill="1" applyAlignment="1">
      <alignment horizontal="right"/>
    </xf>
    <xf numFmtId="0" fontId="2" fillId="4" borderId="0" xfId="0" applyFont="1" applyFill="1" applyAlignment="1">
      <alignment horizontal="right"/>
    </xf>
    <xf numFmtId="164" fontId="7" fillId="0" borderId="0" xfId="0" applyNumberFormat="1" applyFont="1" applyAlignment="1">
      <alignment horizontal="center"/>
    </xf>
    <xf numFmtId="164" fontId="0" fillId="0" borderId="0" xfId="4" applyNumberFormat="1" applyFont="1" applyAlignment="1">
      <alignment horizontal="center"/>
    </xf>
    <xf numFmtId="164" fontId="9" fillId="0" borderId="0" xfId="4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4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4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3" xfId="4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3" xfId="4" applyNumberFormat="1" applyFont="1" applyFill="1" applyBorder="1" applyAlignment="1">
      <alignment horizontal="center"/>
    </xf>
    <xf numFmtId="164" fontId="9" fillId="0" borderId="0" xfId="4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Fill="1"/>
    <xf numFmtId="164" fontId="9" fillId="14" borderId="0" xfId="4" applyNumberFormat="1" applyFont="1" applyFill="1" applyAlignment="1">
      <alignment horizontal="center"/>
    </xf>
    <xf numFmtId="164" fontId="9" fillId="0" borderId="0" xfId="1" applyNumberFormat="1" applyFont="1" applyFill="1" applyAlignment="1">
      <alignment horizontal="center"/>
    </xf>
    <xf numFmtId="164" fontId="54" fillId="0" borderId="0" xfId="4" applyNumberFormat="1" applyFont="1" applyFill="1" applyAlignment="1">
      <alignment horizontal="center"/>
    </xf>
    <xf numFmtId="164" fontId="0" fillId="0" borderId="0" xfId="4" applyNumberFormat="1" applyFont="1" applyFill="1" applyAlignment="1">
      <alignment horizontal="center"/>
    </xf>
    <xf numFmtId="164" fontId="2" fillId="4" borderId="0" xfId="0" applyNumberFormat="1" applyFont="1" applyFill="1"/>
    <xf numFmtId="164" fontId="2" fillId="15" borderId="0" xfId="0" applyNumberFormat="1" applyFont="1" applyFill="1"/>
    <xf numFmtId="164" fontId="2" fillId="4" borderId="0" xfId="0" applyNumberFormat="1" applyFont="1" applyFill="1" applyAlignment="1">
      <alignment horizontal="right"/>
    </xf>
    <xf numFmtId="0" fontId="2" fillId="12" borderId="0" xfId="0" applyFont="1" applyFill="1" applyAlignment="1">
      <alignment horizontal="center"/>
    </xf>
    <xf numFmtId="43" fontId="9" fillId="0" borderId="0" xfId="1" applyFont="1"/>
    <xf numFmtId="10" fontId="8" fillId="0" borderId="0" xfId="8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9" fillId="0" borderId="2" xfId="0" applyNumberFormat="1" applyFont="1" applyBorder="1"/>
    <xf numFmtId="0" fontId="0" fillId="14" borderId="0" xfId="0" applyFill="1" applyAlignment="1">
      <alignment horizontal="center"/>
    </xf>
    <xf numFmtId="164" fontId="2" fillId="14" borderId="0" xfId="0" applyNumberFormat="1" applyFont="1" applyFill="1"/>
    <xf numFmtId="0" fontId="9" fillId="14" borderId="0" xfId="0" applyFont="1" applyFill="1"/>
    <xf numFmtId="0" fontId="2" fillId="14" borderId="0" xfId="0" applyFont="1" applyFill="1"/>
    <xf numFmtId="43" fontId="0" fillId="0" borderId="0" xfId="1" applyFont="1"/>
    <xf numFmtId="43" fontId="43" fillId="0" borderId="0" xfId="1" applyFont="1"/>
    <xf numFmtId="43" fontId="6" fillId="0" borderId="0" xfId="1" applyFont="1"/>
    <xf numFmtId="43" fontId="4" fillId="0" borderId="0" xfId="1" applyFont="1"/>
    <xf numFmtId="43" fontId="0" fillId="0" borderId="0" xfId="1" applyFont="1" applyFill="1"/>
    <xf numFmtId="0" fontId="9" fillId="0" borderId="0" xfId="7" applyAlignment="1">
      <alignment horizontal="right"/>
    </xf>
    <xf numFmtId="43" fontId="9" fillId="0" borderId="0" xfId="7" applyNumberFormat="1" applyAlignment="1">
      <alignment horizontal="right"/>
    </xf>
    <xf numFmtId="167" fontId="2" fillId="0" borderId="0" xfId="5" applyNumberFormat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164" fontId="2" fillId="16" borderId="0" xfId="1" applyNumberFormat="1" applyFont="1" applyFill="1" applyBorder="1"/>
    <xf numFmtId="164" fontId="2" fillId="16" borderId="1" xfId="1" applyNumberFormat="1" applyFont="1" applyFill="1" applyBorder="1"/>
    <xf numFmtId="164" fontId="2" fillId="16" borderId="17" xfId="1" applyNumberFormat="1" applyFont="1" applyFill="1" applyBorder="1"/>
    <xf numFmtId="164" fontId="2" fillId="16" borderId="3" xfId="1" applyNumberFormat="1" applyFont="1" applyFill="1" applyBorder="1"/>
    <xf numFmtId="164" fontId="17" fillId="17" borderId="0" xfId="1" applyNumberFormat="1" applyFont="1" applyFill="1" applyBorder="1" applyAlignment="1">
      <alignment horizontal="center"/>
    </xf>
    <xf numFmtId="164" fontId="13" fillId="17" borderId="0" xfId="1" applyNumberFormat="1" applyFont="1" applyFill="1" applyBorder="1" applyAlignment="1">
      <alignment horizontal="center"/>
    </xf>
    <xf numFmtId="164" fontId="4" fillId="17" borderId="0" xfId="1" applyNumberFormat="1" applyFont="1" applyFill="1" applyBorder="1" applyAlignment="1">
      <alignment horizontal="center"/>
    </xf>
    <xf numFmtId="164" fontId="2" fillId="17" borderId="0" xfId="1" applyNumberFormat="1" applyFont="1" applyFill="1" applyBorder="1"/>
    <xf numFmtId="164" fontId="2" fillId="17" borderId="1" xfId="1" applyNumberFormat="1" applyFont="1" applyFill="1" applyBorder="1"/>
    <xf numFmtId="164" fontId="2" fillId="17" borderId="17" xfId="1" applyNumberFormat="1" applyFont="1" applyFill="1" applyBorder="1"/>
    <xf numFmtId="164" fontId="2" fillId="17" borderId="3" xfId="1" applyNumberFormat="1" applyFont="1" applyFill="1" applyBorder="1"/>
    <xf numFmtId="164" fontId="7" fillId="17" borderId="0" xfId="1" applyNumberFormat="1" applyFont="1" applyFill="1" applyBorder="1"/>
    <xf numFmtId="164" fontId="7" fillId="16" borderId="0" xfId="1" applyNumberFormat="1" applyFont="1" applyFill="1" applyBorder="1"/>
    <xf numFmtId="164" fontId="1" fillId="17" borderId="0" xfId="1" applyNumberFormat="1" applyFill="1" applyBorder="1"/>
    <xf numFmtId="164" fontId="1" fillId="16" borderId="0" xfId="1" applyNumberFormat="1" applyFill="1" applyBorder="1"/>
    <xf numFmtId="0" fontId="19" fillId="0" borderId="0" xfId="0" applyFont="1"/>
    <xf numFmtId="43" fontId="24" fillId="0" borderId="0" xfId="2" applyFont="1" applyFill="1" applyBorder="1"/>
    <xf numFmtId="43" fontId="0" fillId="0" borderId="0" xfId="1" applyFont="1" applyFill="1" applyBorder="1"/>
    <xf numFmtId="0" fontId="24" fillId="10" borderId="2" xfId="0" applyFont="1" applyFill="1" applyBorder="1" applyAlignment="1">
      <alignment horizontal="center"/>
    </xf>
    <xf numFmtId="164" fontId="19" fillId="8" borderId="14" xfId="0" applyNumberFormat="1" applyFont="1" applyFill="1" applyBorder="1"/>
    <xf numFmtId="0" fontId="25" fillId="0" borderId="0" xfId="0" applyFont="1"/>
    <xf numFmtId="0" fontId="2" fillId="18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0" fillId="18" borderId="0" xfId="0" applyFill="1" applyAlignment="1">
      <alignment horizontal="center"/>
    </xf>
    <xf numFmtId="164" fontId="2" fillId="18" borderId="0" xfId="0" applyNumberFormat="1" applyFont="1" applyFill="1"/>
    <xf numFmtId="164" fontId="2" fillId="18" borderId="2" xfId="0" applyNumberFormat="1" applyFont="1" applyFill="1" applyBorder="1"/>
    <xf numFmtId="9" fontId="19" fillId="0" borderId="0" xfId="9" applyFont="1" applyFill="1" applyAlignment="1">
      <alignment horizontal="center"/>
    </xf>
    <xf numFmtId="0" fontId="9" fillId="19" borderId="0" xfId="0" applyFont="1" applyFill="1"/>
    <xf numFmtId="168" fontId="2" fillId="0" borderId="0" xfId="8" applyNumberFormat="1" applyFont="1" applyFill="1" applyBorder="1"/>
    <xf numFmtId="49" fontId="2" fillId="0" borderId="0" xfId="0" quotePrefix="1" applyNumberFormat="1" applyFont="1" applyAlignment="1">
      <alignment horizontal="center"/>
    </xf>
    <xf numFmtId="9" fontId="0" fillId="0" borderId="0" xfId="8" applyFont="1" applyBorder="1"/>
    <xf numFmtId="164" fontId="21" fillId="0" borderId="0" xfId="2" applyNumberFormat="1" applyFont="1" applyFill="1"/>
    <xf numFmtId="43" fontId="21" fillId="0" borderId="0" xfId="2" applyFont="1" applyFill="1"/>
    <xf numFmtId="164" fontId="2" fillId="0" borderId="2" xfId="2" applyNumberFormat="1" applyFont="1" applyBorder="1"/>
    <xf numFmtId="9" fontId="2" fillId="0" borderId="2" xfId="8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" fontId="67" fillId="0" borderId="0" xfId="7" applyNumberFormat="1" applyFont="1"/>
    <xf numFmtId="164" fontId="9" fillId="0" borderId="0" xfId="0" applyNumberFormat="1" applyFont="1" applyAlignment="1">
      <alignment horizontal="left"/>
    </xf>
    <xf numFmtId="43" fontId="15" fillId="0" borderId="0" xfId="0" applyNumberFormat="1" applyFont="1"/>
    <xf numFmtId="0" fontId="2" fillId="0" borderId="3" xfId="0" quotePrefix="1" applyFont="1" applyBorder="1" applyAlignment="1">
      <alignment horizontal="center"/>
    </xf>
    <xf numFmtId="0" fontId="38" fillId="7" borderId="0" xfId="0" applyFont="1" applyFill="1" applyAlignment="1">
      <alignment horizontal="center"/>
    </xf>
    <xf numFmtId="43" fontId="36" fillId="7" borderId="10" xfId="1" applyFont="1" applyFill="1" applyBorder="1"/>
    <xf numFmtId="10" fontId="68" fillId="0" borderId="0" xfId="8" applyNumberFormat="1" applyFont="1" applyFill="1" applyBorder="1" applyAlignment="1">
      <alignment horizontal="left"/>
    </xf>
    <xf numFmtId="164" fontId="9" fillId="0" borderId="0" xfId="1" applyNumberFormat="1" applyFont="1" applyFill="1" applyAlignment="1">
      <alignment horizontal="left"/>
    </xf>
    <xf numFmtId="164" fontId="1" fillId="0" borderId="0" xfId="1" applyNumberFormat="1" applyFill="1" applyBorder="1"/>
    <xf numFmtId="164" fontId="22" fillId="0" borderId="0" xfId="1" applyNumberFormat="1" applyFont="1" applyFill="1" applyBorder="1"/>
    <xf numFmtId="43" fontId="19" fillId="0" borderId="14" xfId="0" applyNumberFormat="1" applyFont="1" applyBorder="1"/>
    <xf numFmtId="0" fontId="19" fillId="0" borderId="12" xfId="0" applyFont="1" applyBorder="1"/>
    <xf numFmtId="43" fontId="24" fillId="0" borderId="12" xfId="2" applyFont="1" applyFill="1" applyBorder="1"/>
    <xf numFmtId="49" fontId="2" fillId="10" borderId="0" xfId="0" applyNumberFormat="1" applyFont="1" applyFill="1"/>
    <xf numFmtId="43" fontId="2" fillId="0" borderId="0" xfId="2" applyFont="1" applyFill="1" applyBorder="1" applyAlignment="1">
      <alignment horizontal="left"/>
    </xf>
    <xf numFmtId="43" fontId="2" fillId="0" borderId="0" xfId="2" applyFont="1" applyFill="1" applyBorder="1" applyAlignment="1">
      <alignment horizontal="center"/>
    </xf>
    <xf numFmtId="43" fontId="36" fillId="0" borderId="0" xfId="1" applyFont="1" applyAlignment="1">
      <alignment horizontal="center"/>
    </xf>
    <xf numFmtId="0" fontId="9" fillId="14" borderId="0" xfId="7" applyFill="1"/>
    <xf numFmtId="164" fontId="56" fillId="10" borderId="0" xfId="5" applyNumberFormat="1" applyFont="1" applyFill="1" applyAlignment="1">
      <alignment horizontal="center"/>
    </xf>
    <xf numFmtId="164" fontId="9" fillId="10" borderId="0" xfId="0" applyNumberFormat="1" applyFont="1" applyFill="1"/>
    <xf numFmtId="164" fontId="9" fillId="10" borderId="0" xfId="1" applyNumberFormat="1" applyFont="1" applyFill="1"/>
    <xf numFmtId="49" fontId="9" fillId="10" borderId="0" xfId="7" applyNumberFormat="1" applyFill="1"/>
    <xf numFmtId="164" fontId="0" fillId="10" borderId="0" xfId="0" applyNumberFormat="1" applyFill="1"/>
    <xf numFmtId="164" fontId="9" fillId="10" borderId="0" xfId="0" applyNumberFormat="1" applyFont="1" applyFill="1" applyAlignment="1">
      <alignment horizontal="left"/>
    </xf>
    <xf numFmtId="6" fontId="0" fillId="0" borderId="0" xfId="0" applyNumberFormat="1"/>
    <xf numFmtId="0" fontId="50" fillId="0" borderId="0" xfId="0" applyFont="1"/>
    <xf numFmtId="164" fontId="2" fillId="20" borderId="1" xfId="1" applyNumberFormat="1" applyFont="1" applyFill="1" applyBorder="1"/>
    <xf numFmtId="164" fontId="2" fillId="20" borderId="3" xfId="1" applyNumberFormat="1" applyFont="1" applyFill="1" applyBorder="1"/>
    <xf numFmtId="164" fontId="2" fillId="20" borderId="0" xfId="1" applyNumberFormat="1" applyFont="1" applyFill="1" applyBorder="1"/>
    <xf numFmtId="164" fontId="2" fillId="20" borderId="0" xfId="1" applyNumberFormat="1" applyFont="1" applyFill="1" applyBorder="1" applyAlignment="1">
      <alignment horizontal="center"/>
    </xf>
    <xf numFmtId="164" fontId="4" fillId="20" borderId="0" xfId="1" applyNumberFormat="1" applyFont="1" applyFill="1" applyBorder="1" applyAlignment="1">
      <alignment horizontal="center"/>
    </xf>
    <xf numFmtId="164" fontId="1" fillId="20" borderId="0" xfId="1" applyNumberFormat="1" applyFill="1" applyBorder="1"/>
    <xf numFmtId="164" fontId="2" fillId="20" borderId="17" xfId="1" applyNumberFormat="1" applyFont="1" applyFill="1" applyBorder="1"/>
    <xf numFmtId="164" fontId="17" fillId="20" borderId="0" xfId="1" applyNumberFormat="1" applyFont="1" applyFill="1" applyBorder="1" applyAlignment="1">
      <alignment horizontal="center" wrapText="1"/>
    </xf>
    <xf numFmtId="0" fontId="42" fillId="10" borderId="0" xfId="0" applyFont="1" applyFill="1" applyAlignment="1">
      <alignment horizontal="right"/>
    </xf>
    <xf numFmtId="14" fontId="7" fillId="10" borderId="0" xfId="1" applyNumberFormat="1" applyFont="1" applyFill="1" applyBorder="1"/>
    <xf numFmtId="164" fontId="7" fillId="10" borderId="2" xfId="1" applyNumberFormat="1" applyFont="1" applyFill="1" applyBorder="1" applyAlignment="1">
      <alignment horizontal="center"/>
    </xf>
    <xf numFmtId="49" fontId="9" fillId="0" borderId="0" xfId="1" applyNumberFormat="1" applyFont="1" applyFill="1" applyBorder="1"/>
    <xf numFmtId="169" fontId="62" fillId="10" borderId="0" xfId="4" applyNumberFormat="1" applyFont="1" applyFill="1"/>
    <xf numFmtId="164" fontId="17" fillId="22" borderId="0" xfId="1" applyNumberFormat="1" applyFont="1" applyFill="1" applyBorder="1" applyAlignment="1">
      <alignment horizontal="center" wrapText="1"/>
    </xf>
    <xf numFmtId="164" fontId="2" fillId="22" borderId="0" xfId="1" applyNumberFormat="1" applyFont="1" applyFill="1" applyBorder="1" applyAlignment="1">
      <alignment horizontal="center"/>
    </xf>
    <xf numFmtId="164" fontId="4" fillId="22" borderId="0" xfId="1" applyNumberFormat="1" applyFont="1" applyFill="1" applyBorder="1" applyAlignment="1">
      <alignment horizontal="center"/>
    </xf>
    <xf numFmtId="0" fontId="1" fillId="0" borderId="0" xfId="0" applyFont="1"/>
    <xf numFmtId="168" fontId="62" fillId="0" borderId="0" xfId="8" applyNumberFormat="1" applyFont="1"/>
    <xf numFmtId="167" fontId="2" fillId="12" borderId="0" xfId="4" applyNumberFormat="1" applyFont="1" applyFill="1" applyBorder="1"/>
    <xf numFmtId="167" fontId="2" fillId="12" borderId="1" xfId="4" applyNumberFormat="1" applyFont="1" applyFill="1" applyBorder="1"/>
    <xf numFmtId="164" fontId="7" fillId="0" borderId="0" xfId="1" applyNumberFormat="1" applyFont="1" applyFill="1" applyBorder="1"/>
    <xf numFmtId="164" fontId="17" fillId="12" borderId="0" xfId="1" applyNumberFormat="1" applyFont="1" applyFill="1" applyBorder="1" applyAlignment="1">
      <alignment horizontal="center" wrapText="1"/>
    </xf>
    <xf numFmtId="164" fontId="2" fillId="12" borderId="0" xfId="1" applyNumberFormat="1" applyFont="1" applyFill="1" applyBorder="1" applyAlignment="1">
      <alignment horizontal="center"/>
    </xf>
    <xf numFmtId="164" fontId="4" fillId="12" borderId="0" xfId="1" applyNumberFormat="1" applyFont="1" applyFill="1" applyBorder="1" applyAlignment="1">
      <alignment horizontal="center"/>
    </xf>
    <xf numFmtId="167" fontId="2" fillId="12" borderId="3" xfId="4" applyNumberFormat="1" applyFont="1" applyFill="1" applyBorder="1"/>
    <xf numFmtId="167" fontId="3" fillId="12" borderId="0" xfId="4" applyNumberFormat="1" applyFont="1" applyFill="1" applyBorder="1"/>
    <xf numFmtId="167" fontId="7" fillId="12" borderId="0" xfId="4" applyNumberFormat="1" applyFont="1" applyFill="1" applyBorder="1"/>
    <xf numFmtId="167" fontId="7" fillId="0" borderId="2" xfId="4" applyNumberFormat="1" applyFont="1" applyFill="1" applyBorder="1"/>
    <xf numFmtId="167" fontId="7" fillId="0" borderId="0" xfId="4" applyNumberFormat="1" applyFont="1"/>
    <xf numFmtId="167" fontId="7" fillId="22" borderId="0" xfId="4" applyNumberFormat="1" applyFont="1" applyFill="1" applyBorder="1"/>
    <xf numFmtId="167" fontId="7" fillId="20" borderId="0" xfId="4" applyNumberFormat="1" applyFont="1" applyFill="1" applyBorder="1"/>
    <xf numFmtId="167" fontId="2" fillId="0" borderId="0" xfId="6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49" fontId="1" fillId="0" borderId="0" xfId="7" applyNumberFormat="1" applyFont="1"/>
    <xf numFmtId="164" fontId="9" fillId="7" borderId="0" xfId="2" applyNumberFormat="1" applyFont="1" applyFill="1"/>
    <xf numFmtId="164" fontId="9" fillId="21" borderId="0" xfId="1" applyNumberFormat="1" applyFont="1" applyFill="1"/>
    <xf numFmtId="164" fontId="9" fillId="21" borderId="0" xfId="2" applyNumberFormat="1" applyFont="1" applyFill="1" applyAlignment="1">
      <alignment horizontal="center"/>
    </xf>
    <xf numFmtId="164" fontId="9" fillId="21" borderId="0" xfId="2" applyNumberFormat="1" applyFill="1"/>
    <xf numFmtId="0" fontId="1" fillId="0" borderId="0" xfId="7" applyFont="1"/>
    <xf numFmtId="167" fontId="2" fillId="23" borderId="0" xfId="5" applyNumberFormat="1" applyFont="1" applyFill="1" applyAlignment="1">
      <alignment horizontal="center"/>
    </xf>
    <xf numFmtId="164" fontId="1" fillId="0" borderId="0" xfId="2" applyNumberFormat="1" applyFont="1" applyFill="1"/>
    <xf numFmtId="164" fontId="1" fillId="7" borderId="0" xfId="2" applyNumberFormat="1" applyFont="1" applyFill="1"/>
    <xf numFmtId="164" fontId="1" fillId="0" borderId="0" xfId="2" applyNumberFormat="1" applyFont="1" applyFill="1" applyAlignment="1">
      <alignment horizontal="center"/>
    </xf>
    <xf numFmtId="164" fontId="1" fillId="7" borderId="0" xfId="2" applyNumberFormat="1" applyFont="1" applyFill="1" applyAlignment="1">
      <alignment horizontal="center"/>
    </xf>
    <xf numFmtId="164" fontId="1" fillId="0" borderId="0" xfId="1" applyNumberFormat="1" applyFont="1" applyFill="1"/>
    <xf numFmtId="164" fontId="1" fillId="7" borderId="0" xfId="1" applyNumberFormat="1" applyFont="1" applyFill="1"/>
    <xf numFmtId="9" fontId="25" fillId="0" borderId="0" xfId="9" applyFont="1" applyBorder="1" applyAlignment="1">
      <alignment horizontal="center"/>
    </xf>
    <xf numFmtId="167" fontId="2" fillId="0" borderId="0" xfId="7" quotePrefix="1" applyNumberFormat="1" applyFont="1" applyAlignment="1">
      <alignment horizontal="center"/>
    </xf>
    <xf numFmtId="0" fontId="1" fillId="0" borderId="0" xfId="7" applyFont="1" applyAlignment="1">
      <alignment horizontal="center"/>
    </xf>
    <xf numFmtId="164" fontId="1" fillId="7" borderId="0" xfId="2" quotePrefix="1" applyNumberFormat="1" applyFont="1" applyFill="1" applyBorder="1" applyAlignment="1">
      <alignment horizontal="center"/>
    </xf>
    <xf numFmtId="49" fontId="2" fillId="0" borderId="0" xfId="7" applyNumberFormat="1" applyFont="1" applyAlignment="1">
      <alignment horizontal="right"/>
    </xf>
    <xf numFmtId="10" fontId="18" fillId="0" borderId="0" xfId="9" applyNumberFormat="1" applyFont="1" applyFill="1" applyBorder="1" applyAlignment="1">
      <alignment horizontal="center"/>
    </xf>
    <xf numFmtId="167" fontId="2" fillId="0" borderId="0" xfId="7" applyNumberFormat="1" applyFont="1"/>
    <xf numFmtId="0" fontId="2" fillId="0" borderId="0" xfId="7" applyFont="1" applyAlignment="1">
      <alignment horizontal="right"/>
    </xf>
    <xf numFmtId="0" fontId="0" fillId="24" borderId="0" xfId="0" applyFill="1"/>
    <xf numFmtId="49" fontId="2" fillId="24" borderId="0" xfId="0" applyNumberFormat="1" applyFont="1" applyFill="1" applyAlignment="1">
      <alignment horizontal="right"/>
    </xf>
    <xf numFmtId="49" fontId="2" fillId="24" borderId="0" xfId="0" applyNumberFormat="1" applyFont="1" applyFill="1" applyAlignment="1">
      <alignment horizontal="center"/>
    </xf>
    <xf numFmtId="164" fontId="9" fillId="24" borderId="0" xfId="0" applyNumberFormat="1" applyFont="1" applyFill="1" applyAlignment="1">
      <alignment horizontal="center"/>
    </xf>
    <xf numFmtId="164" fontId="9" fillId="24" borderId="0" xfId="0" applyNumberFormat="1" applyFont="1" applyFill="1"/>
    <xf numFmtId="164" fontId="2" fillId="24" borderId="0" xfId="0" applyNumberFormat="1" applyFont="1" applyFill="1"/>
    <xf numFmtId="164" fontId="9" fillId="24" borderId="0" xfId="3" applyNumberFormat="1" applyFont="1" applyFill="1" applyAlignment="1">
      <alignment horizontal="right"/>
    </xf>
    <xf numFmtId="164" fontId="0" fillId="24" borderId="0" xfId="0" applyNumberFormat="1" applyFill="1"/>
    <xf numFmtId="44" fontId="2" fillId="24" borderId="0" xfId="6" applyFont="1" applyFill="1" applyAlignment="1">
      <alignment horizontal="center"/>
    </xf>
    <xf numFmtId="0" fontId="18" fillId="24" borderId="0" xfId="0" applyFont="1" applyFill="1" applyAlignment="1">
      <alignment horizontal="right"/>
    </xf>
    <xf numFmtId="10" fontId="18" fillId="24" borderId="0" xfId="0" applyNumberFormat="1" applyFont="1" applyFill="1" applyAlignment="1">
      <alignment horizontal="right"/>
    </xf>
    <xf numFmtId="0" fontId="18" fillId="24" borderId="0" xfId="0" applyFont="1" applyFill="1" applyAlignment="1">
      <alignment horizontal="center"/>
    </xf>
    <xf numFmtId="43" fontId="2" fillId="24" borderId="0" xfId="3" applyFont="1" applyFill="1" applyAlignment="1">
      <alignment horizontal="center"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 horizontal="center"/>
    </xf>
    <xf numFmtId="43" fontId="0" fillId="24" borderId="0" xfId="0" applyNumberFormat="1" applyFill="1"/>
    <xf numFmtId="167" fontId="2" fillId="24" borderId="0" xfId="6" applyNumberFormat="1" applyFont="1" applyFill="1" applyAlignment="1">
      <alignment horizontal="center"/>
    </xf>
    <xf numFmtId="10" fontId="9" fillId="0" borderId="0" xfId="0" applyNumberFormat="1" applyFont="1" applyAlignment="1">
      <alignment horizontal="center"/>
    </xf>
    <xf numFmtId="9" fontId="2" fillId="0" borderId="0" xfId="8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64" fontId="7" fillId="27" borderId="0" xfId="1" applyNumberFormat="1" applyFont="1" applyFill="1" applyBorder="1" applyAlignment="1">
      <alignment horizontal="center" wrapText="1"/>
    </xf>
    <xf numFmtId="0" fontId="2" fillId="27" borderId="0" xfId="0" applyFont="1" applyFill="1" applyAlignment="1">
      <alignment horizontal="center"/>
    </xf>
    <xf numFmtId="0" fontId="4" fillId="27" borderId="0" xfId="0" applyFont="1" applyFill="1" applyAlignment="1">
      <alignment horizontal="center"/>
    </xf>
    <xf numFmtId="167" fontId="2" fillId="27" borderId="0" xfId="1" applyNumberFormat="1" applyFont="1" applyFill="1" applyBorder="1"/>
    <xf numFmtId="167" fontId="2" fillId="27" borderId="0" xfId="1" applyNumberFormat="1" applyFont="1" applyFill="1" applyBorder="1" applyAlignment="1">
      <alignment horizontal="center"/>
    </xf>
    <xf numFmtId="167" fontId="2" fillId="27" borderId="1" xfId="1" applyNumberFormat="1" applyFont="1" applyFill="1" applyBorder="1"/>
    <xf numFmtId="167" fontId="2" fillId="27" borderId="0" xfId="4" applyNumberFormat="1" applyFont="1" applyFill="1" applyBorder="1"/>
    <xf numFmtId="167" fontId="2" fillId="27" borderId="17" xfId="1" applyNumberFormat="1" applyFont="1" applyFill="1" applyBorder="1"/>
    <xf numFmtId="167" fontId="2" fillId="27" borderId="3" xfId="1" applyNumberFormat="1" applyFont="1" applyFill="1" applyBorder="1"/>
    <xf numFmtId="0" fontId="62" fillId="27" borderId="0" xfId="0" applyFont="1" applyFill="1" applyAlignment="1">
      <alignment horizontal="center"/>
    </xf>
    <xf numFmtId="14" fontId="63" fillId="27" borderId="0" xfId="0" applyNumberFormat="1" applyFont="1" applyFill="1" applyAlignment="1">
      <alignment horizontal="center"/>
    </xf>
    <xf numFmtId="164" fontId="17" fillId="27" borderId="0" xfId="1" applyNumberFormat="1" applyFont="1" applyFill="1" applyBorder="1" applyAlignment="1">
      <alignment horizontal="center"/>
    </xf>
    <xf numFmtId="164" fontId="2" fillId="27" borderId="0" xfId="1" applyNumberFormat="1" applyFont="1" applyFill="1" applyBorder="1"/>
    <xf numFmtId="164" fontId="2" fillId="27" borderId="1" xfId="1" applyNumberFormat="1" applyFont="1" applyFill="1" applyBorder="1"/>
    <xf numFmtId="44" fontId="2" fillId="27" borderId="0" xfId="4" applyFont="1" applyFill="1" applyBorder="1"/>
    <xf numFmtId="167" fontId="2" fillId="27" borderId="1" xfId="4" applyNumberFormat="1" applyFont="1" applyFill="1" applyBorder="1"/>
    <xf numFmtId="164" fontId="57" fillId="27" borderId="0" xfId="1" applyNumberFormat="1" applyFont="1" applyFill="1" applyBorder="1"/>
    <xf numFmtId="164" fontId="2" fillId="27" borderId="3" xfId="1" applyNumberFormat="1" applyFont="1" applyFill="1" applyBorder="1"/>
    <xf numFmtId="170" fontId="2" fillId="26" borderId="0" xfId="0" applyNumberFormat="1" applyFont="1" applyFill="1" applyAlignment="1">
      <alignment horizontal="left"/>
    </xf>
    <xf numFmtId="0" fontId="1" fillId="19" borderId="0" xfId="0" applyFont="1" applyFill="1"/>
    <xf numFmtId="164" fontId="7" fillId="16" borderId="2" xfId="1" applyNumberFormat="1" applyFont="1" applyFill="1" applyBorder="1" applyAlignment="1">
      <alignment horizontal="center"/>
    </xf>
    <xf numFmtId="44" fontId="72" fillId="16" borderId="0" xfId="4" applyFont="1" applyFill="1"/>
    <xf numFmtId="0" fontId="0" fillId="0" borderId="0" xfId="0" applyAlignment="1">
      <alignment horizontal="right"/>
    </xf>
    <xf numFmtId="168" fontId="2" fillId="16" borderId="0" xfId="8" applyNumberFormat="1" applyFont="1" applyFill="1" applyBorder="1"/>
    <xf numFmtId="168" fontId="2" fillId="10" borderId="0" xfId="8" applyNumberFormat="1" applyFont="1" applyFill="1" applyBorder="1"/>
    <xf numFmtId="164" fontId="7" fillId="14" borderId="0" xfId="1" applyNumberFormat="1" applyFont="1" applyFill="1" applyBorder="1" applyAlignment="1">
      <alignment horizontal="center" wrapText="1"/>
    </xf>
    <xf numFmtId="0" fontId="2" fillId="14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167" fontId="2" fillId="14" borderId="0" xfId="1" applyNumberFormat="1" applyFont="1" applyFill="1" applyBorder="1"/>
    <xf numFmtId="167" fontId="2" fillId="14" borderId="0" xfId="1" applyNumberFormat="1" applyFont="1" applyFill="1" applyBorder="1" applyAlignment="1">
      <alignment horizontal="center"/>
    </xf>
    <xf numFmtId="167" fontId="2" fillId="14" borderId="1" xfId="1" applyNumberFormat="1" applyFont="1" applyFill="1" applyBorder="1"/>
    <xf numFmtId="167" fontId="2" fillId="14" borderId="0" xfId="4" applyNumberFormat="1" applyFont="1" applyFill="1" applyBorder="1"/>
    <xf numFmtId="167" fontId="2" fillId="14" borderId="17" xfId="1" applyNumberFormat="1" applyFont="1" applyFill="1" applyBorder="1"/>
    <xf numFmtId="167" fontId="2" fillId="14" borderId="3" xfId="1" applyNumberFormat="1" applyFont="1" applyFill="1" applyBorder="1"/>
    <xf numFmtId="164" fontId="17" fillId="14" borderId="0" xfId="1" applyNumberFormat="1" applyFont="1" applyFill="1" applyBorder="1" applyAlignment="1">
      <alignment horizontal="center"/>
    </xf>
    <xf numFmtId="164" fontId="2" fillId="14" borderId="0" xfId="1" applyNumberFormat="1" applyFont="1" applyFill="1" applyBorder="1"/>
    <xf numFmtId="164" fontId="2" fillId="14" borderId="1" xfId="1" applyNumberFormat="1" applyFont="1" applyFill="1" applyBorder="1"/>
    <xf numFmtId="44" fontId="2" fillId="14" borderId="0" xfId="4" applyFont="1" applyFill="1" applyBorder="1"/>
    <xf numFmtId="167" fontId="2" fillId="14" borderId="1" xfId="4" applyNumberFormat="1" applyFont="1" applyFill="1" applyBorder="1"/>
    <xf numFmtId="164" fontId="57" fillId="14" borderId="0" xfId="1" applyNumberFormat="1" applyFont="1" applyFill="1" applyBorder="1"/>
    <xf numFmtId="164" fontId="2" fillId="14" borderId="3" xfId="1" applyNumberFormat="1" applyFont="1" applyFill="1" applyBorder="1"/>
    <xf numFmtId="164" fontId="7" fillId="14" borderId="0" xfId="1" applyNumberFormat="1" applyFont="1" applyFill="1" applyBorder="1"/>
    <xf numFmtId="14" fontId="63" fillId="14" borderId="0" xfId="0" applyNumberFormat="1" applyFont="1" applyFill="1" applyAlignment="1">
      <alignment horizontal="center"/>
    </xf>
    <xf numFmtId="0" fontId="62" fillId="14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164" fontId="2" fillId="27" borderId="0" xfId="4" applyNumberFormat="1" applyFont="1" applyFill="1" applyBorder="1"/>
    <xf numFmtId="0" fontId="1" fillId="0" borderId="1" xfId="0" applyFont="1" applyBorder="1"/>
    <xf numFmtId="0" fontId="1" fillId="0" borderId="0" xfId="0" applyFont="1" applyBorder="1"/>
    <xf numFmtId="164" fontId="2" fillId="14" borderId="0" xfId="4" applyNumberFormat="1" applyFont="1" applyFill="1" applyBorder="1"/>
    <xf numFmtId="167" fontId="2" fillId="27" borderId="3" xfId="4" applyNumberFormat="1" applyFont="1" applyFill="1" applyBorder="1"/>
    <xf numFmtId="167" fontId="3" fillId="27" borderId="0" xfId="4" applyNumberFormat="1" applyFont="1" applyFill="1" applyBorder="1"/>
    <xf numFmtId="167" fontId="7" fillId="27" borderId="0" xfId="4" applyNumberFormat="1" applyFont="1" applyFill="1" applyBorder="1"/>
    <xf numFmtId="164" fontId="17" fillId="27" borderId="0" xfId="1" applyNumberFormat="1" applyFont="1" applyFill="1" applyBorder="1" applyAlignment="1">
      <alignment horizontal="center" wrapText="1"/>
    </xf>
    <xf numFmtId="164" fontId="2" fillId="27" borderId="0" xfId="1" applyNumberFormat="1" applyFont="1" applyFill="1" applyBorder="1" applyAlignment="1">
      <alignment horizontal="center"/>
    </xf>
    <xf numFmtId="164" fontId="4" fillId="27" borderId="0" xfId="1" applyNumberFormat="1" applyFont="1" applyFill="1" applyBorder="1" applyAlignment="1">
      <alignment horizontal="center"/>
    </xf>
    <xf numFmtId="164" fontId="17" fillId="14" borderId="0" xfId="1" applyNumberFormat="1" applyFont="1" applyFill="1" applyBorder="1" applyAlignment="1">
      <alignment horizontal="center" wrapText="1"/>
    </xf>
    <xf numFmtId="164" fontId="2" fillId="14" borderId="0" xfId="1" applyNumberFormat="1" applyFont="1" applyFill="1" applyBorder="1" applyAlignment="1">
      <alignment horizontal="center"/>
    </xf>
    <xf numFmtId="164" fontId="4" fillId="14" borderId="0" xfId="1" applyNumberFormat="1" applyFont="1" applyFill="1" applyBorder="1" applyAlignment="1">
      <alignment horizontal="center"/>
    </xf>
    <xf numFmtId="167" fontId="2" fillId="14" borderId="3" xfId="4" applyNumberFormat="1" applyFont="1" applyFill="1" applyBorder="1"/>
    <xf numFmtId="167" fontId="3" fillId="14" borderId="0" xfId="4" applyNumberFormat="1" applyFont="1" applyFill="1" applyBorder="1"/>
    <xf numFmtId="167" fontId="7" fillId="14" borderId="0" xfId="4" applyNumberFormat="1" applyFont="1" applyFill="1" applyBorder="1"/>
    <xf numFmtId="0" fontId="0" fillId="0" borderId="0" xfId="0"/>
    <xf numFmtId="0" fontId="2" fillId="0" borderId="0" xfId="0" applyFont="1" applyAlignment="1">
      <alignment horizontal="center"/>
    </xf>
    <xf numFmtId="14" fontId="0" fillId="0" borderId="0" xfId="0" applyNumberFormat="1"/>
    <xf numFmtId="49" fontId="0" fillId="0" borderId="0" xfId="1" applyNumberFormat="1" applyFont="1" applyBorder="1"/>
    <xf numFmtId="0" fontId="0" fillId="0" borderId="0" xfId="0"/>
    <xf numFmtId="164" fontId="37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30" fillId="0" borderId="3" xfId="0" applyNumberFormat="1" applyFont="1" applyBorder="1" applyAlignment="1">
      <alignment horizontal="center"/>
    </xf>
    <xf numFmtId="41" fontId="0" fillId="0" borderId="0" xfId="0" applyNumberFormat="1"/>
    <xf numFmtId="9" fontId="2" fillId="24" borderId="0" xfId="0" applyNumberFormat="1" applyFont="1" applyFill="1" applyAlignment="1">
      <alignment horizontal="center"/>
    </xf>
    <xf numFmtId="0" fontId="1" fillId="0" borderId="0" xfId="7" applyFont="1" applyAlignment="1">
      <alignment horizontal="left"/>
    </xf>
    <xf numFmtId="0" fontId="2" fillId="0" borderId="3" xfId="7" quotePrefix="1" applyNumberFormat="1" applyFont="1" applyBorder="1" applyAlignment="1">
      <alignment horizontal="center"/>
    </xf>
    <xf numFmtId="164" fontId="9" fillId="0" borderId="32" xfId="2" applyNumberFormat="1" applyFill="1" applyBorder="1"/>
    <xf numFmtId="164" fontId="9" fillId="21" borderId="33" xfId="2" applyNumberFormat="1" applyFill="1" applyBorder="1"/>
    <xf numFmtId="164" fontId="9" fillId="0" borderId="35" xfId="2" applyNumberFormat="1" applyFill="1" applyBorder="1"/>
    <xf numFmtId="164" fontId="9" fillId="0" borderId="36" xfId="2" applyNumberFormat="1" applyFont="1" applyFill="1" applyBorder="1" applyAlignment="1">
      <alignment horizontal="center"/>
    </xf>
    <xf numFmtId="164" fontId="9" fillId="7" borderId="37" xfId="2" applyNumberFormat="1" applyFill="1" applyBorder="1"/>
    <xf numFmtId="164" fontId="9" fillId="0" borderId="36" xfId="2" applyNumberFormat="1" applyFill="1" applyBorder="1"/>
    <xf numFmtId="164" fontId="9" fillId="21" borderId="38" xfId="2" applyNumberFormat="1" applyFill="1" applyBorder="1"/>
    <xf numFmtId="164" fontId="9" fillId="0" borderId="39" xfId="2" applyNumberFormat="1" applyFill="1" applyBorder="1"/>
    <xf numFmtId="164" fontId="9" fillId="0" borderId="40" xfId="2" applyNumberFormat="1" applyFill="1" applyBorder="1"/>
    <xf numFmtId="167" fontId="2" fillId="0" borderId="36" xfId="5" applyNumberFormat="1" applyFont="1" applyFill="1" applyBorder="1" applyAlignment="1">
      <alignment horizontal="center"/>
    </xf>
    <xf numFmtId="167" fontId="2" fillId="23" borderId="38" xfId="5" applyNumberFormat="1" applyFont="1" applyFill="1" applyBorder="1" applyAlignment="1">
      <alignment horizontal="center"/>
    </xf>
    <xf numFmtId="167" fontId="2" fillId="23" borderId="41" xfId="5" applyNumberFormat="1" applyFont="1" applyFill="1" applyBorder="1" applyAlignment="1">
      <alignment horizontal="center"/>
    </xf>
    <xf numFmtId="167" fontId="2" fillId="0" borderId="35" xfId="5" applyNumberFormat="1" applyFont="1" applyFill="1" applyBorder="1" applyAlignment="1">
      <alignment horizontal="center"/>
    </xf>
    <xf numFmtId="167" fontId="2" fillId="6" borderId="41" xfId="5" applyNumberFormat="1" applyFont="1" applyFill="1" applyBorder="1" applyAlignment="1">
      <alignment horizontal="center"/>
    </xf>
    <xf numFmtId="167" fontId="2" fillId="6" borderId="38" xfId="5" applyNumberFormat="1" applyFont="1" applyFill="1" applyBorder="1" applyAlignment="1">
      <alignment horizontal="center"/>
    </xf>
    <xf numFmtId="164" fontId="2" fillId="0" borderId="36" xfId="2" applyNumberFormat="1" applyFont="1" applyFill="1" applyBorder="1"/>
    <xf numFmtId="164" fontId="1" fillId="7" borderId="41" xfId="2" applyNumberFormat="1" applyFont="1" applyFill="1" applyBorder="1"/>
    <xf numFmtId="164" fontId="9" fillId="7" borderId="0" xfId="2" applyNumberFormat="1" applyFill="1" applyBorder="1"/>
    <xf numFmtId="164" fontId="9" fillId="0" borderId="34" xfId="2" applyNumberFormat="1" applyFont="1" applyFill="1" applyBorder="1" applyAlignment="1">
      <alignment horizontal="center"/>
    </xf>
    <xf numFmtId="164" fontId="1" fillId="0" borderId="34" xfId="2" applyNumberFormat="1" applyFont="1" applyFill="1" applyBorder="1"/>
    <xf numFmtId="164" fontId="9" fillId="7" borderId="0" xfId="7" applyNumberFormat="1" applyFill="1"/>
    <xf numFmtId="0" fontId="9" fillId="7" borderId="0" xfId="7" applyFill="1"/>
    <xf numFmtId="167" fontId="2" fillId="4" borderId="2" xfId="4" applyNumberFormat="1" applyFont="1" applyFill="1" applyBorder="1"/>
    <xf numFmtId="164" fontId="2" fillId="24" borderId="0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9" fillId="0" borderId="0" xfId="0" applyNumberFormat="1" applyFont="1" applyFill="1"/>
    <xf numFmtId="164" fontId="56" fillId="0" borderId="0" xfId="5" applyNumberFormat="1" applyFont="1" applyFill="1" applyAlignment="1">
      <alignment horizontal="center"/>
    </xf>
    <xf numFmtId="1" fontId="9" fillId="0" borderId="0" xfId="7" applyNumberFormat="1"/>
    <xf numFmtId="10" fontId="2" fillId="0" borderId="0" xfId="0" applyNumberFormat="1" applyFont="1" applyAlignment="1">
      <alignment horizontal="center"/>
    </xf>
    <xf numFmtId="10" fontId="2" fillId="0" borderId="0" xfId="0" quotePrefix="1" applyNumberFormat="1" applyFont="1" applyAlignment="1">
      <alignment horizontal="center"/>
    </xf>
    <xf numFmtId="164" fontId="2" fillId="0" borderId="0" xfId="0" quotePrefix="1" applyNumberFormat="1" applyFont="1" applyAlignment="1"/>
    <xf numFmtId="164" fontId="2" fillId="0" borderId="0" xfId="0" quotePrefix="1" applyNumberFormat="1" applyFont="1" applyAlignment="1">
      <alignment horizontal="center" vertical="top"/>
    </xf>
    <xf numFmtId="43" fontId="25" fillId="0" borderId="3" xfId="1" applyFont="1" applyBorder="1"/>
    <xf numFmtId="0" fontId="25" fillId="0" borderId="3" xfId="0" applyFont="1" applyBorder="1"/>
    <xf numFmtId="43" fontId="25" fillId="0" borderId="0" xfId="1" applyFont="1" applyFill="1"/>
    <xf numFmtId="171" fontId="36" fillId="0" borderId="0" xfId="0" applyNumberFormat="1" applyFont="1"/>
    <xf numFmtId="43" fontId="25" fillId="0" borderId="10" xfId="1" applyFont="1" applyFill="1" applyBorder="1"/>
    <xf numFmtId="0" fontId="25" fillId="0" borderId="0" xfId="0" applyFont="1" applyAlignment="1">
      <alignment horizontal="center"/>
    </xf>
    <xf numFmtId="8" fontId="65" fillId="0" borderId="0" xfId="0" applyNumberFormat="1" applyFont="1"/>
    <xf numFmtId="43" fontId="25" fillId="0" borderId="0" xfId="0" applyNumberFormat="1" applyFont="1"/>
    <xf numFmtId="43" fontId="25" fillId="0" borderId="0" xfId="1" applyFont="1" applyFill="1" applyAlignment="1">
      <alignment horizontal="center"/>
    </xf>
    <xf numFmtId="0" fontId="65" fillId="7" borderId="0" xfId="0" applyFont="1" applyFill="1"/>
    <xf numFmtId="43" fontId="25" fillId="21" borderId="4" xfId="1" applyFont="1" applyFill="1" applyBorder="1" applyAlignment="1">
      <alignment horizontal="center"/>
    </xf>
    <xf numFmtId="8" fontId="36" fillId="21" borderId="10" xfId="0" applyNumberFormat="1" applyFont="1" applyFill="1" applyBorder="1"/>
    <xf numFmtId="171" fontId="65" fillId="21" borderId="10" xfId="0" applyNumberFormat="1" applyFont="1" applyFill="1" applyBorder="1"/>
    <xf numFmtId="43" fontId="15" fillId="0" borderId="24" xfId="0" applyNumberFormat="1" applyFont="1" applyBorder="1"/>
    <xf numFmtId="43" fontId="15" fillId="0" borderId="26" xfId="0" applyNumberFormat="1" applyFont="1" applyBorder="1"/>
    <xf numFmtId="43" fontId="15" fillId="0" borderId="28" xfId="0" applyNumberFormat="1" applyFont="1" applyBorder="1"/>
    <xf numFmtId="8" fontId="1" fillId="0" borderId="42" xfId="0" applyNumberFormat="1" applyFont="1" applyBorder="1"/>
    <xf numFmtId="8" fontId="0" fillId="0" borderId="43" xfId="0" applyNumberFormat="1" applyBorder="1"/>
    <xf numFmtId="171" fontId="9" fillId="0" borderId="44" xfId="0" applyNumberFormat="1" applyFont="1" applyBorder="1"/>
    <xf numFmtId="171" fontId="15" fillId="0" borderId="23" xfId="0" applyNumberFormat="1" applyFont="1" applyBorder="1"/>
    <xf numFmtId="171" fontId="15" fillId="0" borderId="31" xfId="0" applyNumberFormat="1" applyFont="1" applyBorder="1"/>
    <xf numFmtId="8" fontId="15" fillId="0" borderId="31" xfId="0" applyNumberFormat="1" applyFont="1" applyBorder="1"/>
    <xf numFmtId="0" fontId="1" fillId="10" borderId="0" xfId="0" applyFont="1" applyFill="1" applyAlignment="1">
      <alignment horizontal="center"/>
    </xf>
    <xf numFmtId="0" fontId="1" fillId="21" borderId="0" xfId="0" applyFont="1" applyFill="1" applyAlignment="1">
      <alignment horizontal="center"/>
    </xf>
    <xf numFmtId="164" fontId="9" fillId="0" borderId="36" xfId="1" applyNumberFormat="1" applyFont="1" applyFill="1" applyBorder="1"/>
    <xf numFmtId="164" fontId="9" fillId="21" borderId="37" xfId="0" applyNumberFormat="1" applyFont="1" applyFill="1" applyBorder="1"/>
    <xf numFmtId="164" fontId="9" fillId="21" borderId="38" xfId="0" applyNumberFormat="1" applyFont="1" applyFill="1" applyBorder="1"/>
    <xf numFmtId="164" fontId="9" fillId="0" borderId="34" xfId="0" applyNumberFormat="1" applyFont="1" applyBorder="1"/>
    <xf numFmtId="164" fontId="9" fillId="21" borderId="45" xfId="1" applyNumberFormat="1" applyFont="1" applyFill="1" applyBorder="1"/>
    <xf numFmtId="164" fontId="2" fillId="0" borderId="36" xfId="0" applyNumberFormat="1" applyFont="1" applyBorder="1"/>
    <xf numFmtId="49" fontId="1" fillId="21" borderId="36" xfId="7" applyNumberFormat="1" applyFont="1" applyFill="1" applyBorder="1"/>
    <xf numFmtId="0" fontId="1" fillId="0" borderId="36" xfId="7" applyFont="1" applyBorder="1"/>
    <xf numFmtId="164" fontId="9" fillId="0" borderId="36" xfId="0" applyNumberFormat="1" applyFont="1" applyBorder="1" applyAlignment="1">
      <alignment horizontal="center"/>
    </xf>
    <xf numFmtId="164" fontId="0" fillId="0" borderId="36" xfId="0" applyNumberFormat="1" applyBorder="1"/>
    <xf numFmtId="164" fontId="9" fillId="21" borderId="38" xfId="1" applyNumberFormat="1" applyFont="1" applyFill="1" applyBorder="1"/>
    <xf numFmtId="164" fontId="0" fillId="21" borderId="38" xfId="0" applyNumberFormat="1" applyFill="1" applyBorder="1"/>
    <xf numFmtId="164" fontId="0" fillId="0" borderId="34" xfId="0" applyNumberFormat="1" applyBorder="1"/>
    <xf numFmtId="164" fontId="9" fillId="21" borderId="0" xfId="0" applyNumberFormat="1" applyFont="1" applyFill="1" applyAlignment="1">
      <alignment horizontal="left"/>
    </xf>
    <xf numFmtId="49" fontId="1" fillId="0" borderId="0" xfId="0" applyNumberFormat="1" applyFont="1"/>
    <xf numFmtId="0" fontId="1" fillId="21" borderId="0" xfId="7" applyFont="1" applyFill="1"/>
    <xf numFmtId="49" fontId="1" fillId="0" borderId="0" xfId="0" applyNumberFormat="1" applyFont="1" applyAlignment="1">
      <alignment horizontal="left"/>
    </xf>
    <xf numFmtId="164" fontId="1" fillId="0" borderId="0" xfId="0" applyNumberFormat="1" applyFont="1"/>
    <xf numFmtId="0" fontId="0" fillId="0" borderId="0" xfId="0"/>
    <xf numFmtId="164" fontId="7" fillId="28" borderId="0" xfId="1" applyNumberFormat="1" applyFont="1" applyFill="1" applyBorder="1" applyAlignment="1">
      <alignment horizontal="center" wrapText="1"/>
    </xf>
    <xf numFmtId="0" fontId="2" fillId="28" borderId="0" xfId="0" applyFont="1" applyFill="1" applyAlignment="1">
      <alignment horizontal="center"/>
    </xf>
    <xf numFmtId="0" fontId="4" fillId="28" borderId="0" xfId="0" applyFont="1" applyFill="1" applyAlignment="1">
      <alignment horizontal="center"/>
    </xf>
    <xf numFmtId="167" fontId="2" fillId="28" borderId="0" xfId="1" applyNumberFormat="1" applyFont="1" applyFill="1" applyBorder="1"/>
    <xf numFmtId="167" fontId="2" fillId="28" borderId="0" xfId="1" applyNumberFormat="1" applyFont="1" applyFill="1" applyBorder="1" applyAlignment="1">
      <alignment horizontal="center"/>
    </xf>
    <xf numFmtId="167" fontId="2" fillId="28" borderId="1" xfId="1" applyNumberFormat="1" applyFont="1" applyFill="1" applyBorder="1"/>
    <xf numFmtId="167" fontId="2" fillId="28" borderId="0" xfId="4" applyNumberFormat="1" applyFont="1" applyFill="1" applyBorder="1"/>
    <xf numFmtId="167" fontId="2" fillId="28" borderId="17" xfId="1" applyNumberFormat="1" applyFont="1" applyFill="1" applyBorder="1"/>
    <xf numFmtId="167" fontId="2" fillId="28" borderId="3" xfId="1" applyNumberFormat="1" applyFont="1" applyFill="1" applyBorder="1"/>
    <xf numFmtId="164" fontId="17" fillId="28" borderId="0" xfId="1" applyNumberFormat="1" applyFont="1" applyFill="1" applyBorder="1" applyAlignment="1">
      <alignment horizontal="center"/>
    </xf>
    <xf numFmtId="164" fontId="2" fillId="28" borderId="0" xfId="1" applyNumberFormat="1" applyFont="1" applyFill="1" applyBorder="1"/>
    <xf numFmtId="164" fontId="2" fillId="28" borderId="1" xfId="1" applyNumberFormat="1" applyFont="1" applyFill="1" applyBorder="1"/>
    <xf numFmtId="44" fontId="2" fillId="28" borderId="0" xfId="4" applyFont="1" applyFill="1" applyBorder="1"/>
    <xf numFmtId="164" fontId="57" fillId="28" borderId="0" xfId="1" applyNumberFormat="1" applyFont="1" applyFill="1" applyBorder="1"/>
    <xf numFmtId="164" fontId="2" fillId="28" borderId="0" xfId="4" applyNumberFormat="1" applyFont="1" applyFill="1" applyBorder="1"/>
    <xf numFmtId="164" fontId="2" fillId="28" borderId="3" xfId="1" applyNumberFormat="1" applyFont="1" applyFill="1" applyBorder="1"/>
    <xf numFmtId="164" fontId="7" fillId="28" borderId="0" xfId="1" applyNumberFormat="1" applyFont="1" applyFill="1" applyBorder="1"/>
    <xf numFmtId="14" fontId="63" fillId="28" borderId="0" xfId="0" applyNumberFormat="1" applyFont="1" applyFill="1" applyAlignment="1">
      <alignment horizontal="center"/>
    </xf>
    <xf numFmtId="0" fontId="62" fillId="28" borderId="0" xfId="0" applyFont="1" applyFill="1" applyAlignment="1">
      <alignment horizontal="center"/>
    </xf>
    <xf numFmtId="0" fontId="62" fillId="0" borderId="0" xfId="0" applyFont="1" applyAlignment="1"/>
    <xf numFmtId="0" fontId="69" fillId="0" borderId="0" xfId="0" applyFont="1" applyAlignment="1"/>
    <xf numFmtId="44" fontId="72" fillId="29" borderId="0" xfId="4" applyFont="1" applyFill="1"/>
    <xf numFmtId="167" fontId="73" fillId="0" borderId="0" xfId="5" applyNumberFormat="1" applyFont="1"/>
    <xf numFmtId="164" fontId="74" fillId="27" borderId="0" xfId="1" applyNumberFormat="1" applyFont="1" applyFill="1" applyBorder="1"/>
    <xf numFmtId="0" fontId="0" fillId="0" borderId="0" xfId="0"/>
    <xf numFmtId="0" fontId="1" fillId="0" borderId="0" xfId="0" applyFont="1" applyFill="1" applyBorder="1"/>
    <xf numFmtId="0" fontId="2" fillId="0" borderId="1" xfId="0" applyFont="1" applyBorder="1" applyAlignment="1">
      <alignment horizontal="left"/>
    </xf>
    <xf numFmtId="0" fontId="0" fillId="0" borderId="0" xfId="0"/>
    <xf numFmtId="164" fontId="17" fillId="22" borderId="0" xfId="1" applyNumberFormat="1" applyFont="1" applyFill="1" applyBorder="1" applyAlignment="1">
      <alignment horizontal="center"/>
    </xf>
    <xf numFmtId="0" fontId="4" fillId="22" borderId="0" xfId="0" applyFont="1" applyFill="1" applyAlignment="1">
      <alignment horizontal="center"/>
    </xf>
    <xf numFmtId="164" fontId="2" fillId="22" borderId="0" xfId="1" applyNumberFormat="1" applyFont="1" applyFill="1" applyBorder="1"/>
    <xf numFmtId="164" fontId="2" fillId="22" borderId="1" xfId="1" applyNumberFormat="1" applyFont="1" applyFill="1" applyBorder="1"/>
    <xf numFmtId="44" fontId="2" fillId="22" borderId="0" xfId="4" applyFont="1" applyFill="1" applyBorder="1"/>
    <xf numFmtId="167" fontId="2" fillId="22" borderId="0" xfId="4" applyNumberFormat="1" applyFont="1" applyFill="1" applyBorder="1"/>
    <xf numFmtId="164" fontId="57" fillId="22" borderId="0" xfId="1" applyNumberFormat="1" applyFont="1" applyFill="1" applyBorder="1"/>
    <xf numFmtId="164" fontId="2" fillId="22" borderId="0" xfId="4" applyNumberFormat="1" applyFont="1" applyFill="1" applyBorder="1"/>
    <xf numFmtId="164" fontId="2" fillId="22" borderId="3" xfId="1" applyNumberFormat="1" applyFont="1" applyFill="1" applyBorder="1"/>
    <xf numFmtId="164" fontId="7" fillId="22" borderId="0" xfId="1" applyNumberFormat="1" applyFont="1" applyFill="1" applyBorder="1"/>
    <xf numFmtId="164" fontId="7" fillId="22" borderId="0" xfId="1" applyNumberFormat="1" applyFont="1" applyFill="1" applyBorder="1" applyAlignment="1">
      <alignment horizontal="center" wrapText="1"/>
    </xf>
    <xf numFmtId="0" fontId="2" fillId="22" borderId="0" xfId="0" applyFont="1" applyFill="1" applyAlignment="1">
      <alignment horizontal="center"/>
    </xf>
    <xf numFmtId="167" fontId="2" fillId="22" borderId="0" xfId="1" applyNumberFormat="1" applyFont="1" applyFill="1" applyBorder="1"/>
    <xf numFmtId="167" fontId="2" fillId="22" borderId="0" xfId="1" applyNumberFormat="1" applyFont="1" applyFill="1" applyBorder="1" applyAlignment="1">
      <alignment horizontal="center"/>
    </xf>
    <xf numFmtId="167" fontId="2" fillId="22" borderId="1" xfId="1" applyNumberFormat="1" applyFont="1" applyFill="1" applyBorder="1"/>
    <xf numFmtId="167" fontId="2" fillId="22" borderId="17" xfId="1" applyNumberFormat="1" applyFont="1" applyFill="1" applyBorder="1"/>
    <xf numFmtId="167" fontId="2" fillId="22" borderId="3" xfId="1" applyNumberFormat="1" applyFont="1" applyFill="1" applyBorder="1"/>
    <xf numFmtId="170" fontId="4" fillId="0" borderId="0" xfId="0" applyNumberFormat="1" applyFont="1" applyAlignment="1">
      <alignment horizontal="center"/>
    </xf>
    <xf numFmtId="170" fontId="2" fillId="0" borderId="1" xfId="0" applyNumberFormat="1" applyFont="1" applyBorder="1" applyAlignment="1">
      <alignment horizontal="left"/>
    </xf>
    <xf numFmtId="170" fontId="2" fillId="0" borderId="0" xfId="0" applyNumberFormat="1" applyFont="1" applyAlignment="1">
      <alignment horizontal="left"/>
    </xf>
    <xf numFmtId="170" fontId="2" fillId="0" borderId="3" xfId="0" applyNumberFormat="1" applyFont="1" applyBorder="1" applyAlignment="1">
      <alignment horizontal="left"/>
    </xf>
    <xf numFmtId="49" fontId="2" fillId="26" borderId="0" xfId="0" applyNumberFormat="1" applyFont="1" applyFill="1" applyAlignment="1">
      <alignment horizontal="left"/>
    </xf>
    <xf numFmtId="49" fontId="75" fillId="26" borderId="0" xfId="0" applyNumberFormat="1" applyFont="1" applyFill="1" applyAlignment="1">
      <alignment horizontal="left"/>
    </xf>
    <xf numFmtId="170" fontId="2" fillId="0" borderId="0" xfId="0" applyNumberFormat="1" applyFont="1" applyBorder="1" applyAlignment="1">
      <alignment horizontal="left"/>
    </xf>
    <xf numFmtId="0" fontId="0" fillId="0" borderId="0" xfId="0" applyBorder="1"/>
    <xf numFmtId="14" fontId="63" fillId="22" borderId="0" xfId="0" applyNumberFormat="1" applyFont="1" applyFill="1" applyAlignment="1">
      <alignment horizontal="center"/>
    </xf>
    <xf numFmtId="0" fontId="62" fillId="22" borderId="0" xfId="0" applyFont="1" applyFill="1" applyAlignment="1">
      <alignment horizontal="center"/>
    </xf>
    <xf numFmtId="0" fontId="9" fillId="0" borderId="0" xfId="0" applyFont="1" applyFill="1"/>
    <xf numFmtId="0" fontId="0" fillId="0" borderId="0" xfId="0" applyFill="1"/>
    <xf numFmtId="0" fontId="1" fillId="0" borderId="0" xfId="0" applyFont="1" applyFill="1"/>
    <xf numFmtId="164" fontId="2" fillId="0" borderId="1" xfId="1" applyNumberFormat="1" applyFont="1" applyFill="1" applyBorder="1"/>
    <xf numFmtId="49" fontId="1" fillId="0" borderId="0" xfId="1" applyNumberFormat="1" applyFont="1" applyBorder="1"/>
    <xf numFmtId="0" fontId="2" fillId="0" borderId="1" xfId="0" applyFont="1" applyBorder="1" applyAlignment="1"/>
    <xf numFmtId="0" fontId="2" fillId="0" borderId="3" xfId="0" applyFont="1" applyBorder="1" applyAlignment="1"/>
    <xf numFmtId="0" fontId="42" fillId="16" borderId="0" xfId="0" applyFont="1" applyFill="1" applyAlignment="1"/>
    <xf numFmtId="49" fontId="4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/>
    <xf numFmtId="49" fontId="2" fillId="0" borderId="0" xfId="0" applyNumberFormat="1" applyFont="1" applyBorder="1" applyAlignment="1">
      <alignment horizontal="left"/>
    </xf>
    <xf numFmtId="49" fontId="2" fillId="0" borderId="3" xfId="0" applyNumberFormat="1" applyFont="1" applyBorder="1" applyAlignment="1"/>
    <xf numFmtId="170" fontId="4" fillId="0" borderId="0" xfId="0" applyNumberFormat="1" applyFont="1" applyAlignment="1">
      <alignment horizontal="left"/>
    </xf>
    <xf numFmtId="170" fontId="2" fillId="0" borderId="1" xfId="0" applyNumberFormat="1" applyFont="1" applyBorder="1" applyAlignment="1"/>
    <xf numFmtId="170" fontId="2" fillId="0" borderId="3" xfId="0" applyNumberFormat="1" applyFont="1" applyBorder="1" applyAlignment="1"/>
    <xf numFmtId="170" fontId="1" fillId="0" borderId="0" xfId="0" applyNumberFormat="1" applyFont="1" applyAlignment="1">
      <alignment horizontal="left"/>
    </xf>
    <xf numFmtId="170" fontId="1" fillId="0" borderId="1" xfId="0" applyNumberFormat="1" applyFont="1" applyBorder="1" applyAlignment="1">
      <alignment horizontal="left"/>
    </xf>
    <xf numFmtId="49" fontId="1" fillId="25" borderId="0" xfId="0" applyNumberFormat="1" applyFont="1" applyFill="1" applyAlignment="1">
      <alignment horizontal="left"/>
    </xf>
    <xf numFmtId="170" fontId="1" fillId="25" borderId="0" xfId="0" applyNumberFormat="1" applyFont="1" applyFill="1" applyAlignment="1">
      <alignment horizontal="left"/>
    </xf>
    <xf numFmtId="49" fontId="1" fillId="26" borderId="0" xfId="0" applyNumberFormat="1" applyFont="1" applyFill="1" applyAlignment="1">
      <alignment horizontal="left"/>
    </xf>
    <xf numFmtId="170" fontId="1" fillId="26" borderId="0" xfId="0" applyNumberFormat="1" applyFont="1" applyFill="1" applyAlignment="1">
      <alignment horizontal="left"/>
    </xf>
    <xf numFmtId="49" fontId="1" fillId="0" borderId="3" xfId="0" applyNumberFormat="1" applyFont="1" applyBorder="1" applyAlignment="1">
      <alignment horizontal="left"/>
    </xf>
    <xf numFmtId="170" fontId="1" fillId="0" borderId="3" xfId="0" applyNumberFormat="1" applyFont="1" applyBorder="1" applyAlignment="1">
      <alignment horizontal="left"/>
    </xf>
    <xf numFmtId="170" fontId="1" fillId="0" borderId="0" xfId="0" applyNumberFormat="1" applyFont="1"/>
    <xf numFmtId="49" fontId="2" fillId="16" borderId="0" xfId="0" applyNumberFormat="1" applyFont="1" applyFill="1" applyAlignment="1"/>
    <xf numFmtId="170" fontId="2" fillId="16" borderId="0" xfId="0" applyNumberFormat="1" applyFont="1" applyFill="1" applyAlignment="1"/>
    <xf numFmtId="170" fontId="1" fillId="0" borderId="0" xfId="0" applyNumberFormat="1" applyFont="1" applyAlignment="1">
      <alignment horizontal="center"/>
    </xf>
    <xf numFmtId="170" fontId="2" fillId="0" borderId="0" xfId="0" applyNumberFormat="1" applyFont="1"/>
    <xf numFmtId="170" fontId="2" fillId="0" borderId="0" xfId="0" applyNumberFormat="1" applyFont="1" applyAlignment="1">
      <alignment horizontal="center"/>
    </xf>
    <xf numFmtId="170" fontId="1" fillId="0" borderId="0" xfId="0" applyNumberFormat="1" applyFont="1" applyBorder="1" applyAlignment="1">
      <alignment horizontal="left"/>
    </xf>
    <xf numFmtId="170" fontId="1" fillId="0" borderId="1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2" fillId="26" borderId="0" xfId="0" applyNumberFormat="1" applyFont="1" applyFill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170" fontId="75" fillId="26" borderId="0" xfId="0" applyNumberFormat="1" applyFont="1" applyFill="1" applyAlignment="1">
      <alignment horizontal="left"/>
    </xf>
    <xf numFmtId="49" fontId="2" fillId="25" borderId="0" xfId="0" applyNumberFormat="1" applyFont="1" applyFill="1" applyAlignment="1">
      <alignment horizontal="left"/>
    </xf>
    <xf numFmtId="170" fontId="75" fillId="26" borderId="0" xfId="0" quotePrefix="1" applyNumberFormat="1" applyFont="1" applyFill="1" applyAlignment="1">
      <alignment horizontal="left"/>
    </xf>
    <xf numFmtId="0" fontId="76" fillId="0" borderId="0" xfId="0" applyFont="1" applyAlignment="1"/>
    <xf numFmtId="0" fontId="77" fillId="0" borderId="0" xfId="0" applyFont="1"/>
    <xf numFmtId="0" fontId="1" fillId="29" borderId="0" xfId="0" applyFont="1" applyFill="1"/>
    <xf numFmtId="170" fontId="1" fillId="16" borderId="0" xfId="0" applyNumberFormat="1" applyFont="1" applyFill="1" applyAlignment="1">
      <alignment horizontal="left"/>
    </xf>
    <xf numFmtId="170" fontId="77" fillId="0" borderId="0" xfId="0" applyNumberFormat="1" applyFont="1" applyAlignment="1">
      <alignment horizontal="left"/>
    </xf>
    <xf numFmtId="170" fontId="76" fillId="0" borderId="0" xfId="0" applyNumberFormat="1" applyFont="1" applyAlignment="1">
      <alignment horizontal="left"/>
    </xf>
    <xf numFmtId="49" fontId="76" fillId="0" borderId="0" xfId="0" applyNumberFormat="1" applyFont="1" applyAlignment="1"/>
    <xf numFmtId="49" fontId="77" fillId="0" borderId="0" xfId="0" applyNumberFormat="1" applyFont="1" applyAlignment="1">
      <alignment horizontal="right"/>
    </xf>
    <xf numFmtId="49" fontId="77" fillId="0" borderId="0" xfId="0" applyNumberFormat="1" applyFont="1"/>
    <xf numFmtId="49" fontId="77" fillId="0" borderId="0" xfId="0" applyNumberFormat="1" applyFont="1" applyAlignment="1">
      <alignment horizontal="left"/>
    </xf>
    <xf numFmtId="49" fontId="76" fillId="0" borderId="0" xfId="0" applyNumberFormat="1" applyFont="1" applyAlignment="1">
      <alignment horizontal="right"/>
    </xf>
    <xf numFmtId="0" fontId="1" fillId="0" borderId="0" xfId="11"/>
    <xf numFmtId="164" fontId="1" fillId="0" borderId="0" xfId="1" applyNumberFormat="1" applyFont="1" applyFill="1" applyBorder="1"/>
    <xf numFmtId="0" fontId="2" fillId="0" borderId="0" xfId="11" applyFont="1" applyAlignment="1">
      <alignment horizontal="center"/>
    </xf>
    <xf numFmtId="0" fontId="1" fillId="0" borderId="0" xfId="11" applyAlignment="1">
      <alignment horizontal="center"/>
    </xf>
    <xf numFmtId="0" fontId="7" fillId="0" borderId="0" xfId="11" applyFont="1" applyAlignment="1">
      <alignment horizontal="right"/>
    </xf>
    <xf numFmtId="0" fontId="2" fillId="0" borderId="0" xfId="11" applyFont="1"/>
    <xf numFmtId="0" fontId="7" fillId="0" borderId="0" xfId="11" applyFont="1"/>
    <xf numFmtId="164" fontId="7" fillId="0" borderId="0" xfId="11" applyNumberFormat="1" applyFont="1"/>
    <xf numFmtId="0" fontId="12" fillId="0" borderId="0" xfId="11" applyFont="1"/>
    <xf numFmtId="167" fontId="74" fillId="0" borderId="2" xfId="4" applyNumberFormat="1" applyFont="1" applyFill="1" applyBorder="1"/>
    <xf numFmtId="164" fontId="18" fillId="0" borderId="2" xfId="11" applyNumberFormat="1" applyFont="1" applyBorder="1"/>
    <xf numFmtId="0" fontId="42" fillId="14" borderId="0" xfId="11" applyFont="1" applyFill="1" applyAlignment="1">
      <alignment horizontal="right"/>
    </xf>
    <xf numFmtId="0" fontId="42" fillId="0" borderId="0" xfId="11" applyFont="1"/>
    <xf numFmtId="167" fontId="7" fillId="28" borderId="0" xfId="4" applyNumberFormat="1" applyFont="1" applyFill="1" applyBorder="1"/>
    <xf numFmtId="0" fontId="1" fillId="28" borderId="0" xfId="11" applyFill="1"/>
    <xf numFmtId="0" fontId="1" fillId="14" borderId="0" xfId="11" applyFill="1"/>
    <xf numFmtId="0" fontId="1" fillId="27" borderId="0" xfId="11" applyFill="1"/>
    <xf numFmtId="0" fontId="1" fillId="12" borderId="0" xfId="11" applyFill="1"/>
    <xf numFmtId="0" fontId="1" fillId="22" borderId="0" xfId="11" applyFill="1"/>
    <xf numFmtId="0" fontId="2" fillId="28" borderId="0" xfId="11" applyFont="1" applyFill="1"/>
    <xf numFmtId="0" fontId="2" fillId="14" borderId="0" xfId="11" applyFont="1" applyFill="1"/>
    <xf numFmtId="0" fontId="2" fillId="27" borderId="0" xfId="11" applyFont="1" applyFill="1"/>
    <xf numFmtId="0" fontId="2" fillId="12" borderId="0" xfId="11" applyFont="1" applyFill="1"/>
    <xf numFmtId="0" fontId="2" fillId="22" borderId="0" xfId="11" applyFont="1" applyFill="1"/>
    <xf numFmtId="0" fontId="2" fillId="0" borderId="0" xfId="11" applyFont="1" applyAlignment="1">
      <alignment horizontal="right"/>
    </xf>
    <xf numFmtId="164" fontId="1" fillId="0" borderId="3" xfId="1" applyNumberFormat="1" applyFont="1" applyFill="1" applyBorder="1"/>
    <xf numFmtId="0" fontId="2" fillId="0" borderId="3" xfId="11" applyFont="1" applyBorder="1"/>
    <xf numFmtId="167" fontId="2" fillId="28" borderId="3" xfId="4" applyNumberFormat="1" applyFont="1" applyFill="1" applyBorder="1"/>
    <xf numFmtId="164" fontId="2" fillId="22" borderId="3" xfId="11" applyNumberFormat="1" applyFont="1" applyFill="1" applyBorder="1"/>
    <xf numFmtId="164" fontId="1" fillId="0" borderId="3" xfId="12" applyNumberFormat="1" applyFont="1" applyFill="1" applyBorder="1"/>
    <xf numFmtId="164" fontId="1" fillId="0" borderId="17" xfId="1" applyNumberFormat="1" applyFont="1" applyFill="1" applyBorder="1"/>
    <xf numFmtId="0" fontId="1" fillId="0" borderId="17" xfId="11" applyBorder="1"/>
    <xf numFmtId="0" fontId="1" fillId="28" borderId="3" xfId="11" applyFill="1" applyBorder="1"/>
    <xf numFmtId="0" fontId="1" fillId="14" borderId="3" xfId="11" applyFill="1" applyBorder="1"/>
    <xf numFmtId="0" fontId="1" fillId="27" borderId="3" xfId="11" applyFill="1" applyBorder="1"/>
    <xf numFmtId="0" fontId="1" fillId="12" borderId="3" xfId="11" applyFill="1" applyBorder="1"/>
    <xf numFmtId="0" fontId="1" fillId="22" borderId="3" xfId="11" applyFill="1" applyBorder="1"/>
    <xf numFmtId="164" fontId="1" fillId="0" borderId="17" xfId="12" applyNumberFormat="1" applyFont="1" applyFill="1" applyBorder="1"/>
    <xf numFmtId="0" fontId="2" fillId="0" borderId="17" xfId="11" applyFont="1" applyBorder="1" applyAlignment="1">
      <alignment horizontal="center"/>
    </xf>
    <xf numFmtId="0" fontId="1" fillId="0" borderId="17" xfId="11" applyBorder="1" applyAlignment="1">
      <alignment horizontal="center"/>
    </xf>
    <xf numFmtId="164" fontId="1" fillId="0" borderId="1" xfId="1" applyNumberFormat="1" applyFont="1" applyFill="1" applyBorder="1"/>
    <xf numFmtId="0" fontId="2" fillId="0" borderId="1" xfId="11" applyFont="1" applyBorder="1"/>
    <xf numFmtId="167" fontId="2" fillId="28" borderId="1" xfId="4" applyNumberFormat="1" applyFont="1" applyFill="1" applyBorder="1"/>
    <xf numFmtId="3" fontId="2" fillId="22" borderId="1" xfId="11" applyNumberFormat="1" applyFont="1" applyFill="1" applyBorder="1"/>
    <xf numFmtId="164" fontId="1" fillId="0" borderId="1" xfId="12" applyNumberFormat="1" applyFont="1" applyFill="1" applyBorder="1"/>
    <xf numFmtId="3" fontId="2" fillId="22" borderId="0" xfId="11" applyNumberFormat="1" applyFont="1" applyFill="1"/>
    <xf numFmtId="164" fontId="1" fillId="0" borderId="0" xfId="12" applyNumberFormat="1" applyFont="1" applyFill="1" applyBorder="1"/>
    <xf numFmtId="0" fontId="2" fillId="26" borderId="0" xfId="11" applyFont="1" applyFill="1" applyAlignment="1">
      <alignment horizontal="left"/>
    </xf>
    <xf numFmtId="164" fontId="1" fillId="16" borderId="0" xfId="11" applyNumberFormat="1" applyFill="1"/>
    <xf numFmtId="43" fontId="1" fillId="0" borderId="0" xfId="12" applyFont="1" applyFill="1" applyBorder="1"/>
    <xf numFmtId="164" fontId="2" fillId="22" borderId="1" xfId="11" applyNumberFormat="1" applyFont="1" applyFill="1" applyBorder="1"/>
    <xf numFmtId="0" fontId="2" fillId="0" borderId="1" xfId="11" applyFont="1" applyBorder="1" applyAlignment="1">
      <alignment horizontal="right"/>
    </xf>
    <xf numFmtId="0" fontId="2" fillId="0" borderId="1" xfId="11" applyFont="1" applyBorder="1" applyAlignment="1">
      <alignment horizontal="left"/>
    </xf>
    <xf numFmtId="0" fontId="2" fillId="25" borderId="0" xfId="11" applyFont="1" applyFill="1" applyAlignment="1">
      <alignment horizontal="center"/>
    </xf>
    <xf numFmtId="0" fontId="3" fillId="0" borderId="0" xfId="11" applyFont="1"/>
    <xf numFmtId="10" fontId="15" fillId="0" borderId="0" xfId="11" applyNumberFormat="1" applyFont="1" applyAlignment="1">
      <alignment horizontal="left"/>
    </xf>
    <xf numFmtId="0" fontId="15" fillId="0" borderId="0" xfId="11" applyFont="1"/>
    <xf numFmtId="10" fontId="25" fillId="0" borderId="0" xfId="13" applyNumberFormat="1" applyFont="1" applyFill="1" applyBorder="1"/>
    <xf numFmtId="0" fontId="10" fillId="0" borderId="0" xfId="11" applyFont="1" applyAlignment="1">
      <alignment horizontal="center"/>
    </xf>
    <xf numFmtId="0" fontId="3" fillId="0" borderId="0" xfId="11" applyFont="1" applyAlignment="1">
      <alignment horizontal="center"/>
    </xf>
    <xf numFmtId="167" fontId="3" fillId="28" borderId="0" xfId="4" applyNumberFormat="1" applyFont="1" applyFill="1" applyBorder="1"/>
    <xf numFmtId="0" fontId="3" fillId="22" borderId="0" xfId="11" applyFont="1" applyFill="1"/>
    <xf numFmtId="0" fontId="3" fillId="20" borderId="0" xfId="11" applyFont="1" applyFill="1" applyAlignment="1">
      <alignment horizontal="center"/>
    </xf>
    <xf numFmtId="164" fontId="1" fillId="0" borderId="0" xfId="11" applyNumberFormat="1"/>
    <xf numFmtId="0" fontId="3" fillId="0" borderId="0" xfId="11" applyFont="1" applyAlignment="1">
      <alignment horizontal="left"/>
    </xf>
    <xf numFmtId="0" fontId="10" fillId="0" borderId="0" xfId="11" applyFont="1"/>
    <xf numFmtId="0" fontId="41" fillId="0" borderId="0" xfId="11" applyFont="1"/>
    <xf numFmtId="0" fontId="6" fillId="0" borderId="0" xfId="11" applyFont="1"/>
    <xf numFmtId="3" fontId="2" fillId="22" borderId="3" xfId="11" applyNumberFormat="1" applyFont="1" applyFill="1" applyBorder="1"/>
    <xf numFmtId="0" fontId="2" fillId="0" borderId="3" xfId="11" applyFont="1" applyBorder="1" applyAlignment="1">
      <alignment horizontal="left"/>
    </xf>
    <xf numFmtId="170" fontId="70" fillId="26" borderId="0" xfId="11" applyNumberFormat="1" applyFont="1" applyFill="1" applyAlignment="1">
      <alignment horizontal="left"/>
    </xf>
    <xf numFmtId="0" fontId="70" fillId="26" borderId="0" xfId="11" applyFont="1" applyFill="1" applyAlignment="1">
      <alignment horizontal="left"/>
    </xf>
    <xf numFmtId="0" fontId="2" fillId="26" borderId="0" xfId="11" applyFont="1" applyFill="1" applyAlignment="1">
      <alignment horizontal="center"/>
    </xf>
    <xf numFmtId="0" fontId="4" fillId="0" borderId="0" xfId="11" applyFont="1" applyAlignment="1">
      <alignment horizontal="center"/>
    </xf>
    <xf numFmtId="164" fontId="11" fillId="0" borderId="0" xfId="14" applyNumberFormat="1" applyFont="1" applyFill="1" applyBorder="1" applyAlignment="1">
      <alignment horizontal="center"/>
    </xf>
    <xf numFmtId="164" fontId="4" fillId="28" borderId="0" xfId="1" applyNumberFormat="1" applyFont="1" applyFill="1" applyBorder="1" applyAlignment="1">
      <alignment horizontal="center"/>
    </xf>
    <xf numFmtId="164" fontId="20" fillId="0" borderId="0" xfId="12" applyNumberFormat="1" applyFont="1" applyFill="1" applyBorder="1" applyAlignment="1">
      <alignment horizontal="center"/>
    </xf>
    <xf numFmtId="164" fontId="1" fillId="0" borderId="0" xfId="14" applyNumberFormat="1" applyFont="1" applyFill="1" applyBorder="1" applyAlignment="1">
      <alignment horizontal="center"/>
    </xf>
    <xf numFmtId="164" fontId="2" fillId="28" borderId="0" xfId="1" applyNumberFormat="1" applyFont="1" applyFill="1" applyBorder="1" applyAlignment="1">
      <alignment horizontal="center"/>
    </xf>
    <xf numFmtId="164" fontId="15" fillId="0" borderId="0" xfId="12" applyNumberFormat="1" applyFont="1" applyFill="1" applyBorder="1" applyAlignment="1">
      <alignment horizontal="center"/>
    </xf>
    <xf numFmtId="0" fontId="8" fillId="0" borderId="0" xfId="11" applyFont="1"/>
    <xf numFmtId="0" fontId="24" fillId="0" borderId="0" xfId="11" applyFont="1"/>
    <xf numFmtId="49" fontId="5" fillId="0" borderId="0" xfId="14" applyNumberFormat="1" applyFont="1" applyFill="1" applyBorder="1" applyAlignment="1">
      <alignment horizontal="center"/>
    </xf>
    <xf numFmtId="164" fontId="17" fillId="28" borderId="0" xfId="1" applyNumberFormat="1" applyFont="1" applyFill="1" applyBorder="1" applyAlignment="1">
      <alignment horizontal="center" wrapText="1"/>
    </xf>
    <xf numFmtId="0" fontId="24" fillId="0" borderId="0" xfId="11" applyFont="1" applyAlignment="1">
      <alignment horizontal="center"/>
    </xf>
    <xf numFmtId="0" fontId="8" fillId="0" borderId="0" xfId="11" applyFont="1" applyAlignment="1">
      <alignment horizontal="center"/>
    </xf>
    <xf numFmtId="0" fontId="66" fillId="0" borderId="0" xfId="11" applyFont="1" applyAlignment="1">
      <alignment horizontal="center"/>
    </xf>
    <xf numFmtId="0" fontId="15" fillId="11" borderId="7" xfId="11" applyFont="1" applyFill="1" applyBorder="1"/>
    <xf numFmtId="10" fontId="25" fillId="11" borderId="2" xfId="13" applyNumberFormat="1" applyFont="1" applyFill="1" applyBorder="1"/>
    <xf numFmtId="165" fontId="1" fillId="0" borderId="0" xfId="1" applyNumberFormat="1" applyFont="1" applyFill="1" applyBorder="1" applyAlignment="1">
      <alignment horizontal="center"/>
    </xf>
    <xf numFmtId="0" fontId="63" fillId="0" borderId="0" xfId="0" quotePrefix="1" applyFont="1" applyAlignment="1">
      <alignment horizontal="center" wrapText="1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 horizontal="center" wrapText="1"/>
    </xf>
    <xf numFmtId="0" fontId="62" fillId="10" borderId="0" xfId="0" applyFont="1" applyFill="1" applyAlignment="1">
      <alignment horizontal="right"/>
    </xf>
    <xf numFmtId="170" fontId="62" fillId="10" borderId="0" xfId="0" applyNumberFormat="1" applyFont="1" applyFill="1" applyAlignment="1">
      <alignment horizontal="left"/>
    </xf>
    <xf numFmtId="0" fontId="62" fillId="29" borderId="0" xfId="0" applyFont="1" applyFill="1" applyAlignment="1">
      <alignment horizontal="center"/>
    </xf>
    <xf numFmtId="0" fontId="62" fillId="16" borderId="0" xfId="0" applyFont="1" applyFill="1" applyAlignment="1">
      <alignment horizontal="center"/>
    </xf>
    <xf numFmtId="0" fontId="63" fillId="0" borderId="0" xfId="0" quotePrefix="1" applyFont="1" applyAlignment="1">
      <alignment horizontal="left" wrapText="1"/>
    </xf>
    <xf numFmtId="0" fontId="7" fillId="0" borderId="0" xfId="0" applyFont="1" applyAlignment="1">
      <alignment horizontal="right"/>
    </xf>
    <xf numFmtId="3" fontId="7" fillId="0" borderId="3" xfId="11" applyNumberFormat="1" applyFont="1" applyBorder="1" applyAlignment="1">
      <alignment horizontal="center"/>
    </xf>
    <xf numFmtId="0" fontId="7" fillId="0" borderId="3" xfId="11" applyFont="1" applyBorder="1" applyAlignment="1">
      <alignment horizontal="center"/>
    </xf>
    <xf numFmtId="0" fontId="7" fillId="0" borderId="0" xfId="11" applyFont="1" applyAlignment="1">
      <alignment horizontal="right"/>
    </xf>
    <xf numFmtId="0" fontId="42" fillId="16" borderId="0" xfId="11" applyFont="1" applyFill="1" applyAlignment="1">
      <alignment horizontal="center" wrapText="1"/>
    </xf>
    <xf numFmtId="0" fontId="8" fillId="16" borderId="0" xfId="11" applyFont="1" applyFill="1" applyAlignment="1">
      <alignment horizontal="center" wrapText="1"/>
    </xf>
    <xf numFmtId="0" fontId="42" fillId="10" borderId="0" xfId="11" applyFont="1" applyFill="1" applyAlignment="1">
      <alignment horizontal="center"/>
    </xf>
    <xf numFmtId="0" fontId="1" fillId="0" borderId="0" xfId="11"/>
    <xf numFmtId="0" fontId="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7" applyFont="1" applyAlignment="1">
      <alignment horizontal="left"/>
    </xf>
    <xf numFmtId="43" fontId="52" fillId="7" borderId="0" xfId="2" applyFont="1" applyFill="1" applyAlignment="1">
      <alignment horizontal="center"/>
    </xf>
    <xf numFmtId="164" fontId="37" fillId="0" borderId="0" xfId="1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43" fontId="55" fillId="7" borderId="0" xfId="1" applyFont="1" applyFill="1" applyAlignment="1">
      <alignment horizontal="center"/>
    </xf>
    <xf numFmtId="0" fontId="2" fillId="18" borderId="0" xfId="0" applyFont="1" applyFill="1" applyAlignment="1">
      <alignment horizontal="center"/>
    </xf>
    <xf numFmtId="9" fontId="24" fillId="18" borderId="0" xfId="0" applyNumberFormat="1" applyFont="1" applyFill="1" applyAlignment="1">
      <alignment horizontal="center"/>
    </xf>
    <xf numFmtId="0" fontId="24" fillId="18" borderId="0" xfId="0" applyFont="1" applyFill="1" applyAlignment="1">
      <alignment horizontal="center"/>
    </xf>
    <xf numFmtId="10" fontId="24" fillId="18" borderId="0" xfId="8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1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" fillId="12" borderId="0" xfId="0" applyFont="1" applyFill="1" applyAlignment="1">
      <alignment horizontal="center"/>
    </xf>
    <xf numFmtId="10" fontId="24" fillId="0" borderId="0" xfId="8" applyNumberFormat="1" applyFont="1" applyFill="1" applyBorder="1" applyAlignment="1">
      <alignment horizontal="center"/>
    </xf>
  </cellXfs>
  <cellStyles count="15">
    <cellStyle name="Comma" xfId="1" builtinId="3"/>
    <cellStyle name="Comma 2" xfId="2" xr:uid="{00000000-0005-0000-0000-000001000000}"/>
    <cellStyle name="Comma 2 2" xfId="12" xr:uid="{2B6C7A04-90B7-4FAC-B6DE-3A9F2DD06E67}"/>
    <cellStyle name="Comma 3" xfId="3" xr:uid="{00000000-0005-0000-0000-000002000000}"/>
    <cellStyle name="Comma 3 2" xfId="14" xr:uid="{10390CBF-3DAF-4685-9253-63B90F81BEFF}"/>
    <cellStyle name="Currency" xfId="4" builtinId="4"/>
    <cellStyle name="Currency 2" xfId="5" xr:uid="{00000000-0005-0000-0000-000004000000}"/>
    <cellStyle name="Currency 3" xfId="6" xr:uid="{00000000-0005-0000-0000-000005000000}"/>
    <cellStyle name="Normal" xfId="0" builtinId="0"/>
    <cellStyle name="Normal 2" xfId="7" xr:uid="{00000000-0005-0000-0000-000007000000}"/>
    <cellStyle name="Normal 3" xfId="11" xr:uid="{D5AB1C65-B3F7-4AA7-84DD-91D5852B44F7}"/>
    <cellStyle name="Percent" xfId="8" builtinId="5"/>
    <cellStyle name="Percent 2" xfId="9" xr:uid="{00000000-0005-0000-0000-000009000000}"/>
    <cellStyle name="Percent 2 2" xfId="13" xr:uid="{9574BBFF-E202-4311-BDC9-90684550C014}"/>
    <cellStyle name="Percent 3" xfId="10" xr:uid="{00000000-0005-0000-0000-00000A000000}"/>
  </cellStyles>
  <dxfs count="0"/>
  <tableStyles count="0" defaultTableStyle="TableStyleMedium9" defaultPivotStyle="PivotStyleLight16"/>
  <colors>
    <mruColors>
      <color rgb="FFFFD65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ndyGranquist\Downloads\NCAS%202023-24%20Revised%2011-29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olution-Transparency 23-24"/>
      <sheetName val="General Revenue"/>
      <sheetName val="General Expenses"/>
      <sheetName val="State Aid Projections"/>
      <sheetName val="UAAL"/>
      <sheetName val="STAFF Sal Bkdwn (2023-24)"/>
      <sheetName val="STAFF Sal Bkdwn (2022-23)"/>
      <sheetName val="SUPPORT Sal Bkdwn (2023-24)"/>
      <sheetName val="SUPPORT Sal Bkdwn 2022-23"/>
      <sheetName val="Staff MESSA-CAP 23-24"/>
      <sheetName val="Staff MESSA-CAP ($200-400)18-19"/>
      <sheetName val="Support MESSA-CAP 23-24"/>
      <sheetName val="Support MESSA 18-19 CAP"/>
      <sheetName val="Salary per Contr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M36">
            <v>14005.9375</v>
          </cell>
          <cell r="N36">
            <v>37516.96428571429</v>
          </cell>
          <cell r="O36">
            <v>0</v>
          </cell>
          <cell r="P36">
            <v>35909.129999999997</v>
          </cell>
        </row>
      </sheetData>
      <sheetData sheetId="9"/>
      <sheetData sheetId="10"/>
      <sheetData sheetId="11"/>
      <sheetData sheetId="12">
        <row r="34">
          <cell r="S34">
            <v>4910.5192499999994</v>
          </cell>
          <cell r="T34">
            <v>44666.751250000008</v>
          </cell>
        </row>
      </sheetData>
      <sheetData sheetId="1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H385"/>
  <sheetViews>
    <sheetView workbookViewId="0">
      <selection activeCell="D380" sqref="D380"/>
    </sheetView>
  </sheetViews>
  <sheetFormatPr defaultColWidth="9.140625" defaultRowHeight="15.75" x14ac:dyDescent="0.25"/>
  <cols>
    <col min="1" max="1" width="3" style="286" customWidth="1"/>
    <col min="2" max="2" width="24.5703125" style="838" customWidth="1"/>
    <col min="3" max="3" width="8.85546875" style="832" bestFit="1" customWidth="1"/>
    <col min="4" max="4" width="14.85546875" style="286" customWidth="1"/>
    <col min="5" max="5" width="14.140625" style="286" bestFit="1" customWidth="1"/>
    <col min="6" max="6" width="14.140625" style="286" customWidth="1"/>
    <col min="7" max="7" width="13.7109375" style="286" customWidth="1"/>
    <col min="8" max="8" width="13.140625" style="286" bestFit="1" customWidth="1"/>
    <col min="9" max="16384" width="9.140625" style="286"/>
  </cols>
  <sheetData>
    <row r="1" spans="1:8" s="285" customFormat="1" x14ac:dyDescent="0.25">
      <c r="A1" s="752" t="s">
        <v>400</v>
      </c>
      <c r="B1" s="837"/>
      <c r="C1" s="831"/>
      <c r="D1" s="752"/>
    </row>
    <row r="2" spans="1:8" s="285" customFormat="1" x14ac:dyDescent="0.25">
      <c r="A2" s="752" t="s">
        <v>424</v>
      </c>
      <c r="B2" s="837"/>
      <c r="C2" s="831"/>
      <c r="D2" s="752"/>
    </row>
    <row r="3" spans="1:8" s="285" customFormat="1" x14ac:dyDescent="0.25">
      <c r="A3" s="753" t="s">
        <v>1321</v>
      </c>
      <c r="B3" s="837"/>
      <c r="C3" s="831"/>
      <c r="D3" s="753"/>
    </row>
    <row r="4" spans="1:8" ht="9.4" customHeight="1" x14ac:dyDescent="0.25"/>
    <row r="5" spans="1:8" ht="16.149999999999999" customHeight="1" x14ac:dyDescent="0.25">
      <c r="A5" s="933" t="s">
        <v>1424</v>
      </c>
      <c r="B5" s="933"/>
      <c r="C5" s="933"/>
      <c r="D5" s="933"/>
      <c r="E5" s="933"/>
      <c r="F5" s="933"/>
      <c r="G5" s="933"/>
      <c r="H5" s="933"/>
    </row>
    <row r="6" spans="1:8" x14ac:dyDescent="0.25">
      <c r="A6" s="933"/>
      <c r="B6" s="933"/>
      <c r="C6" s="933"/>
      <c r="D6" s="933"/>
      <c r="E6" s="933"/>
      <c r="F6" s="933"/>
      <c r="G6" s="933"/>
      <c r="H6" s="933"/>
    </row>
    <row r="7" spans="1:8" x14ac:dyDescent="0.25">
      <c r="A7" s="933"/>
      <c r="B7" s="933"/>
      <c r="C7" s="933"/>
      <c r="D7" s="933"/>
      <c r="E7" s="933"/>
      <c r="F7" s="933"/>
      <c r="G7" s="933"/>
      <c r="H7" s="933"/>
    </row>
    <row r="8" spans="1:8" x14ac:dyDescent="0.25">
      <c r="A8" s="933"/>
      <c r="B8" s="933"/>
      <c r="C8" s="933"/>
      <c r="D8" s="933"/>
      <c r="E8" s="933"/>
      <c r="F8" s="933"/>
      <c r="G8" s="933"/>
      <c r="H8" s="933"/>
    </row>
    <row r="9" spans="1:8" ht="15.75" customHeight="1" x14ac:dyDescent="0.25">
      <c r="A9" s="933" t="s">
        <v>1421</v>
      </c>
      <c r="B9" s="933"/>
      <c r="C9" s="933"/>
      <c r="D9" s="933"/>
      <c r="E9" s="933"/>
      <c r="F9" s="933"/>
      <c r="G9" s="933"/>
      <c r="H9" s="933"/>
    </row>
    <row r="10" spans="1:8" x14ac:dyDescent="0.25">
      <c r="A10" s="933"/>
      <c r="B10" s="933"/>
      <c r="C10" s="933"/>
      <c r="D10" s="933"/>
      <c r="E10" s="933"/>
      <c r="F10" s="933"/>
      <c r="G10" s="933"/>
      <c r="H10" s="933"/>
    </row>
    <row r="11" spans="1:8" x14ac:dyDescent="0.25">
      <c r="A11" s="933"/>
      <c r="B11" s="933"/>
      <c r="C11" s="933"/>
      <c r="D11" s="933"/>
      <c r="E11" s="933"/>
      <c r="F11" s="933"/>
      <c r="G11" s="933"/>
      <c r="H11" s="933"/>
    </row>
    <row r="12" spans="1:8" ht="11.25" customHeight="1" x14ac:dyDescent="0.25">
      <c r="A12" s="934"/>
      <c r="B12" s="934"/>
      <c r="C12" s="934"/>
      <c r="D12" s="934"/>
      <c r="E12" s="934"/>
      <c r="F12" s="934"/>
      <c r="G12" s="934"/>
      <c r="H12" s="934"/>
    </row>
    <row r="13" spans="1:8" x14ac:dyDescent="0.25">
      <c r="A13" s="502"/>
      <c r="E13" s="591">
        <v>45090</v>
      </c>
      <c r="F13" s="623">
        <v>45097</v>
      </c>
      <c r="G13" s="750">
        <v>45259</v>
      </c>
      <c r="H13" s="786">
        <v>45343</v>
      </c>
    </row>
    <row r="14" spans="1:8" x14ac:dyDescent="0.25">
      <c r="E14" s="590" t="s">
        <v>760</v>
      </c>
      <c r="F14" s="624" t="s">
        <v>1271</v>
      </c>
      <c r="G14" s="751" t="s">
        <v>1271</v>
      </c>
      <c r="H14" s="787" t="s">
        <v>1271</v>
      </c>
    </row>
    <row r="15" spans="1:8" x14ac:dyDescent="0.25">
      <c r="A15" s="285" t="s">
        <v>262</v>
      </c>
      <c r="E15" s="287" t="s">
        <v>745</v>
      </c>
      <c r="F15" s="287" t="s">
        <v>734</v>
      </c>
      <c r="G15" s="287" t="s">
        <v>1416</v>
      </c>
      <c r="H15" s="287" t="s">
        <v>1416</v>
      </c>
    </row>
    <row r="16" spans="1:8" x14ac:dyDescent="0.25">
      <c r="B16" s="839" t="s">
        <v>401</v>
      </c>
      <c r="E16" s="288">
        <f>+'General Revenue'!E14+'General Revenue'!E17+'General Revenue'!E22+'General Revenue'!E37</f>
        <v>988152</v>
      </c>
      <c r="F16" s="288">
        <f>+'General Revenue'!F14+'General Revenue'!F17+'General Revenue'!F22+'General Revenue'!F37</f>
        <v>991476</v>
      </c>
      <c r="G16" s="288">
        <f>+'General Revenue'!G14+'General Revenue'!G17+'General Revenue'!G22+'General Revenue'!G37</f>
        <v>1046432</v>
      </c>
      <c r="H16" s="288">
        <f>+'General Revenue'!H14+'General Revenue'!H17+'General Revenue'!H22+'General Revenue'!H37</f>
        <v>1071529</v>
      </c>
    </row>
    <row r="17" spans="1:8" x14ac:dyDescent="0.25">
      <c r="B17" s="839" t="s">
        <v>402</v>
      </c>
      <c r="E17" s="288">
        <f>+'General Revenue'!E55+'General Revenue'!E73</f>
        <v>3267735.42</v>
      </c>
      <c r="F17" s="288">
        <f>+'General Revenue'!F55+'General Revenue'!F73</f>
        <v>2697061</v>
      </c>
      <c r="G17" s="288">
        <f>+'General Revenue'!G55+'General Revenue'!G73</f>
        <v>3111090</v>
      </c>
      <c r="H17" s="288">
        <f>+'General Revenue'!H55+'General Revenue'!H73</f>
        <v>3188036</v>
      </c>
    </row>
    <row r="18" spans="1:8" x14ac:dyDescent="0.25">
      <c r="B18" s="839" t="s">
        <v>403</v>
      </c>
      <c r="E18" s="288">
        <f>+'General Revenue'!E84</f>
        <v>1242262</v>
      </c>
      <c r="F18" s="288">
        <f>+'General Revenue'!F84</f>
        <v>136215</v>
      </c>
      <c r="G18" s="288">
        <f>+'General Revenue'!G84</f>
        <v>321923</v>
      </c>
      <c r="H18" s="288">
        <f>+'General Revenue'!H84</f>
        <v>355888</v>
      </c>
    </row>
    <row r="19" spans="1:8" x14ac:dyDescent="0.25">
      <c r="B19" s="839" t="s">
        <v>404</v>
      </c>
      <c r="E19" s="289">
        <f>+'General Revenue'!E94</f>
        <v>61666</v>
      </c>
      <c r="F19" s="289">
        <f>+'General Revenue'!F94</f>
        <v>31000</v>
      </c>
      <c r="G19" s="289">
        <f>+'General Revenue'!G94</f>
        <v>58500</v>
      </c>
      <c r="H19" s="289">
        <f>+'General Revenue'!H94</f>
        <v>85273</v>
      </c>
    </row>
    <row r="20" spans="1:8" x14ac:dyDescent="0.25">
      <c r="A20" s="286" t="s">
        <v>405</v>
      </c>
      <c r="E20" s="290">
        <f>SUM(E16:E19)</f>
        <v>5559815.4199999999</v>
      </c>
      <c r="F20" s="290">
        <f>SUM(F16:F19)</f>
        <v>3855752</v>
      </c>
      <c r="G20" s="290">
        <f>SUM(G16:G19)</f>
        <v>4537945</v>
      </c>
      <c r="H20" s="290">
        <f>SUM(H16:H19)</f>
        <v>4700726</v>
      </c>
    </row>
    <row r="21" spans="1:8" ht="6" customHeight="1" x14ac:dyDescent="0.25">
      <c r="A21" s="932"/>
      <c r="B21" s="932"/>
      <c r="C21" s="932"/>
      <c r="D21" s="932"/>
      <c r="E21" s="932"/>
      <c r="F21" s="932"/>
      <c r="G21" s="932"/>
      <c r="H21" s="932"/>
    </row>
    <row r="22" spans="1:8" ht="48" customHeight="1" x14ac:dyDescent="0.25">
      <c r="A22" s="939" t="s">
        <v>1488</v>
      </c>
      <c r="B22" s="939"/>
      <c r="C22" s="939"/>
      <c r="D22" s="939"/>
      <c r="E22" s="939"/>
      <c r="F22" s="939"/>
      <c r="G22" s="939"/>
      <c r="H22" s="939"/>
    </row>
    <row r="23" spans="1:8" ht="31.35" customHeight="1" x14ac:dyDescent="0.25">
      <c r="A23" s="932"/>
      <c r="B23" s="932"/>
      <c r="C23" s="932"/>
      <c r="D23" s="932"/>
      <c r="E23" s="932"/>
      <c r="F23" s="932"/>
      <c r="G23" s="932"/>
      <c r="H23" s="932"/>
    </row>
    <row r="24" spans="1:8" x14ac:dyDescent="0.25">
      <c r="A24" s="285" t="s">
        <v>406</v>
      </c>
    </row>
    <row r="25" spans="1:8" x14ac:dyDescent="0.25">
      <c r="A25" s="286" t="s">
        <v>407</v>
      </c>
      <c r="B25" s="840"/>
    </row>
    <row r="26" spans="1:8" x14ac:dyDescent="0.25">
      <c r="B26" s="840" t="s">
        <v>408</v>
      </c>
      <c r="E26" s="288">
        <f>+'General Expenses'!E67+'General Expenses'!E84+'General Expenses'!E103+'General Expenses'!E111+'General Expenses'!E146+'General Expenses'!E172+'General Expenses'!E184+'General Expenses'!E179+'General Expenses'!E268+'General Expenses'!E286+'General Expenses'!E298+'General Expenses'!E6+'General Expenses'!E7+'General Expenses'!E8+'General Expenses'!E9+'General Expenses'!E10+'General Expenses'!E11+'General Expenses'!E12+'General Expenses'!E13+'General Expenses'!E14+'General Expenses'!E15+'General Expenses'!E16+'General Expenses'!E17+'General Expenses'!E18+'General Expenses'!E19+'General Expenses'!E20+'General Expenses'!E21+'General Expenses'!E22+'General Expenses'!E23+'General Expenses'!E24+'General Expenses'!E26+'General Expenses'!E25+'General Expenses'!E27+'General Expenses'!E28+'General Expenses'!E29+'General Expenses'!E30+'General Expenses'!E34+'General Expenses'!E35+'General Expenses'!E36+'General Expenses'!E37</f>
        <v>2126827.21</v>
      </c>
      <c r="F26" s="288">
        <f>+'General Expenses'!F67+'General Expenses'!F84+'General Expenses'!F103+'General Expenses'!F111+'General Expenses'!F146+'General Expenses'!F172+'General Expenses'!F184+'General Expenses'!F179+'General Expenses'!F268+'General Expenses'!F286+'General Expenses'!F298+'General Expenses'!F6+'General Expenses'!F7+'General Expenses'!F8+'General Expenses'!F9+'General Expenses'!F10+'General Expenses'!F11+'General Expenses'!F12+'General Expenses'!F13+'General Expenses'!F14+'General Expenses'!F15+'General Expenses'!F16+'General Expenses'!F17+'General Expenses'!F18+'General Expenses'!F19+'General Expenses'!F20+'General Expenses'!F21+'General Expenses'!F22+'General Expenses'!F23+'General Expenses'!F24+'General Expenses'!F26+'General Expenses'!F25+'General Expenses'!F27+'General Expenses'!F28+'General Expenses'!F29+'General Expenses'!F30+'General Expenses'!F34+'General Expenses'!F35+'General Expenses'!F36+'General Expenses'!F37</f>
        <v>1910062</v>
      </c>
      <c r="G26" s="288">
        <f>+'General Expenses'!G67+'General Expenses'!G84+'General Expenses'!G103+'General Expenses'!G111+'General Expenses'!G146+'General Expenses'!G172+'General Expenses'!G184+'General Expenses'!G179+'General Expenses'!G268+'General Expenses'!G286+'General Expenses'!G298+'General Expenses'!G6+'General Expenses'!G7+'General Expenses'!G8+'General Expenses'!G9+'General Expenses'!G10+'General Expenses'!G11+'General Expenses'!G12+'General Expenses'!G13+'General Expenses'!G14+'General Expenses'!G15+'General Expenses'!G16+'General Expenses'!G17+'General Expenses'!G18+'General Expenses'!G19+'General Expenses'!G20+'General Expenses'!G21+'General Expenses'!G22+'General Expenses'!G23+'General Expenses'!G24+'General Expenses'!G26+'General Expenses'!G25+'General Expenses'!G27+'General Expenses'!G28+'General Expenses'!G29+'General Expenses'!G30+'General Expenses'!G34+'General Expenses'!G35+'General Expenses'!G36+'General Expenses'!G37</f>
        <v>1996830</v>
      </c>
      <c r="H26" s="288">
        <f>+'General Expenses'!H67+'General Expenses'!H84+'General Expenses'!H103+'General Expenses'!H111+'General Expenses'!H146+'General Expenses'!H172+'General Expenses'!H184+'General Expenses'!H179+'General Expenses'!H268+'General Expenses'!H286+'General Expenses'!H298+'General Expenses'!H6+'General Expenses'!H7+'General Expenses'!H8+'General Expenses'!H9+'General Expenses'!H10+'General Expenses'!H11+'General Expenses'!H12+'General Expenses'!H13+'General Expenses'!H14+'General Expenses'!H15+'General Expenses'!H16+'General Expenses'!H17+'General Expenses'!H18+'General Expenses'!H19+'General Expenses'!H20+'General Expenses'!H21+'General Expenses'!H22+'General Expenses'!H23+'General Expenses'!H24+'General Expenses'!H26+'General Expenses'!H25+'General Expenses'!H27+'General Expenses'!H28+'General Expenses'!H29+'General Expenses'!H30+'General Expenses'!H34+'General Expenses'!H35+'General Expenses'!H36+'General Expenses'!H37</f>
        <v>2179992</v>
      </c>
    </row>
    <row r="27" spans="1:8" x14ac:dyDescent="0.25">
      <c r="B27" s="840" t="s">
        <v>409</v>
      </c>
      <c r="E27" s="288">
        <f>+'General Expenses'!E201+'General Expenses'!E217+'General Expenses'!E309+'General Expenses'!E120+'General Expenses'!E129+'General Expenses'!E227</f>
        <v>807771.89</v>
      </c>
      <c r="F27" s="288">
        <f>+'General Expenses'!F201+'General Expenses'!F217+'General Expenses'!F309+'General Expenses'!F120+'General Expenses'!F129+'General Expenses'!F227</f>
        <v>586791</v>
      </c>
      <c r="G27" s="288">
        <f>+'General Expenses'!G201+'General Expenses'!G217+'General Expenses'!G309+'General Expenses'!G120+'General Expenses'!G129+'General Expenses'!G227</f>
        <v>663566</v>
      </c>
      <c r="H27" s="288">
        <f>+'General Expenses'!H201+'General Expenses'!H217+'General Expenses'!H309+'General Expenses'!H120+'General Expenses'!H129+'General Expenses'!H227</f>
        <v>733358</v>
      </c>
    </row>
    <row r="28" spans="1:8" x14ac:dyDescent="0.25">
      <c r="A28" s="286" t="s">
        <v>410</v>
      </c>
      <c r="B28" s="840"/>
      <c r="E28" s="288"/>
      <c r="F28" s="288"/>
      <c r="G28" s="288"/>
      <c r="H28" s="288"/>
    </row>
    <row r="29" spans="1:8" x14ac:dyDescent="0.25">
      <c r="B29" s="840" t="s">
        <v>411</v>
      </c>
      <c r="E29" s="292">
        <f>+'General Expenses'!E347+'General Expenses'!E318+'General Expenses'!E31+'General Expenses'!E331+'General Expenses'!E324</f>
        <v>110534</v>
      </c>
      <c r="F29" s="292">
        <f>+'General Expenses'!F347+'General Expenses'!F318+'General Expenses'!F31+'General Expenses'!F331+'General Expenses'!F324</f>
        <v>130957</v>
      </c>
      <c r="G29" s="292">
        <f>+'General Expenses'!G347+'General Expenses'!G318+'General Expenses'!G31+'General Expenses'!G331+'General Expenses'!G324</f>
        <v>39568</v>
      </c>
      <c r="H29" s="292">
        <f>+'General Expenses'!H347+'General Expenses'!H318+'General Expenses'!H31+'General Expenses'!H331+'General Expenses'!H324</f>
        <v>47715</v>
      </c>
    </row>
    <row r="30" spans="1:8" x14ac:dyDescent="0.25">
      <c r="B30" s="840" t="s">
        <v>412</v>
      </c>
      <c r="E30" s="288">
        <f>+'General Expenses'!E356</f>
        <v>6424</v>
      </c>
      <c r="F30" s="288">
        <f>+'General Expenses'!F356</f>
        <v>6750</v>
      </c>
      <c r="G30" s="288">
        <f>+'General Expenses'!G356</f>
        <v>6750</v>
      </c>
      <c r="H30" s="288">
        <f>+'General Expenses'!H356</f>
        <v>8250</v>
      </c>
    </row>
    <row r="31" spans="1:8" x14ac:dyDescent="0.25">
      <c r="B31" s="840" t="s">
        <v>413</v>
      </c>
      <c r="E31" s="288">
        <f>+'General Expenses'!E384</f>
        <v>322782</v>
      </c>
      <c r="F31" s="288">
        <f>+'General Expenses'!F384</f>
        <v>336345</v>
      </c>
      <c r="G31" s="288">
        <f>+'General Expenses'!G384</f>
        <v>349649</v>
      </c>
      <c r="H31" s="288">
        <f>+'General Expenses'!H384</f>
        <v>353146</v>
      </c>
    </row>
    <row r="32" spans="1:8" x14ac:dyDescent="0.25">
      <c r="B32" s="840" t="s">
        <v>414</v>
      </c>
      <c r="E32" s="288">
        <f>+'General Expenses'!E402+'General Expenses'!E424</f>
        <v>428205</v>
      </c>
      <c r="F32" s="288">
        <f>+'General Expenses'!F402+'General Expenses'!F424</f>
        <v>357855</v>
      </c>
      <c r="G32" s="288">
        <f>+'General Expenses'!G402+'General Expenses'!G424</f>
        <v>371431</v>
      </c>
      <c r="H32" s="288">
        <f>+'General Expenses'!H402+'General Expenses'!H424</f>
        <v>368309</v>
      </c>
    </row>
    <row r="33" spans="1:8" x14ac:dyDescent="0.25">
      <c r="B33" s="840" t="s">
        <v>415</v>
      </c>
      <c r="E33" s="288">
        <f>+'General Expenses'!E429</f>
        <v>18550</v>
      </c>
      <c r="F33" s="288">
        <f>+'General Expenses'!F429</f>
        <v>36000</v>
      </c>
      <c r="G33" s="288">
        <f>+'General Expenses'!G429</f>
        <v>40500</v>
      </c>
      <c r="H33" s="288">
        <f>+'General Expenses'!H429</f>
        <v>40250</v>
      </c>
    </row>
    <row r="34" spans="1:8" x14ac:dyDescent="0.25">
      <c r="B34" s="840" t="s">
        <v>416</v>
      </c>
      <c r="E34" s="288">
        <f>+'General Expenses'!E463+'General Expenses'!E32+'General Expenses'!E33+'General Expenses'!E38+'General Expenses'!E39+'General Expenses'!E468</f>
        <v>619542.72</v>
      </c>
      <c r="F34" s="288">
        <f>+'General Expenses'!F463+'General Expenses'!F32+'General Expenses'!F33+'General Expenses'!F38+'General Expenses'!F39+'General Expenses'!F468</f>
        <v>522793</v>
      </c>
      <c r="G34" s="288">
        <f>+'General Expenses'!G463+'General Expenses'!G32+'General Expenses'!G33+'General Expenses'!G38+'General Expenses'!G39+'General Expenses'!G468</f>
        <v>519777</v>
      </c>
      <c r="H34" s="288">
        <f>+'General Expenses'!H463+'General Expenses'!H32+'General Expenses'!H33+'General Expenses'!H38+'General Expenses'!H39+'General Expenses'!H468</f>
        <v>562655</v>
      </c>
    </row>
    <row r="35" spans="1:8" x14ac:dyDescent="0.25">
      <c r="B35" s="840" t="s">
        <v>417</v>
      </c>
      <c r="E35" s="288">
        <f>+'General Expenses'!E500</f>
        <v>380416</v>
      </c>
      <c r="F35" s="288">
        <f>+'General Expenses'!F500</f>
        <v>332078</v>
      </c>
      <c r="G35" s="288">
        <f>+'General Expenses'!G500</f>
        <v>352460</v>
      </c>
      <c r="H35" s="288">
        <f>+'General Expenses'!H500</f>
        <v>382752</v>
      </c>
    </row>
    <row r="36" spans="1:8" x14ac:dyDescent="0.25">
      <c r="B36" s="839" t="s">
        <v>418</v>
      </c>
      <c r="E36" s="288">
        <f>+'General Expenses'!E336</f>
        <v>20839</v>
      </c>
      <c r="F36" s="288">
        <f>+'General Expenses'!F336</f>
        <v>15000</v>
      </c>
      <c r="G36" s="288">
        <f>+'General Expenses'!G336</f>
        <v>22000</v>
      </c>
      <c r="H36" s="288">
        <f>+'General Expenses'!H336</f>
        <v>22000</v>
      </c>
    </row>
    <row r="37" spans="1:8" x14ac:dyDescent="0.25">
      <c r="B37" s="839" t="s">
        <v>419</v>
      </c>
      <c r="E37" s="288">
        <f>+'General Expenses'!E520</f>
        <v>113345</v>
      </c>
      <c r="F37" s="288">
        <f>+'General Expenses'!F520</f>
        <v>106550</v>
      </c>
      <c r="G37" s="288">
        <f>+'General Expenses'!G520</f>
        <v>110301</v>
      </c>
      <c r="H37" s="288">
        <f>+'General Expenses'!H520</f>
        <v>110301</v>
      </c>
    </row>
    <row r="38" spans="1:8" x14ac:dyDescent="0.25">
      <c r="B38" s="839" t="s">
        <v>420</v>
      </c>
      <c r="E38" s="288">
        <f>+'General Expenses'!E503+'General Expenses'!E40+'General Expenses'!E41+'General Expenses'!E42+'General Expenses'!E43</f>
        <v>137933</v>
      </c>
      <c r="F38" s="288">
        <f>+'General Expenses'!F503+'General Expenses'!F40+'General Expenses'!F41+'General Expenses'!F42+'General Expenses'!F43</f>
        <v>2500</v>
      </c>
      <c r="G38" s="288">
        <f>+'General Expenses'!G503+'General Expenses'!G40+'General Expenses'!G41+'General Expenses'!G42+'General Expenses'!G43</f>
        <v>103626</v>
      </c>
      <c r="H38" s="288">
        <f>+'General Expenses'!H503+'General Expenses'!H40+'General Expenses'!H41+'General Expenses'!H42+'General Expenses'!H43</f>
        <v>103626</v>
      </c>
    </row>
    <row r="39" spans="1:8" x14ac:dyDescent="0.25">
      <c r="B39" s="839" t="s">
        <v>421</v>
      </c>
      <c r="E39" s="288">
        <f>+'General Expenses'!E525</f>
        <v>41548</v>
      </c>
      <c r="F39" s="288">
        <f>+'General Expenses'!F525</f>
        <v>40428</v>
      </c>
      <c r="G39" s="288">
        <f>+'General Expenses'!G525</f>
        <v>40428</v>
      </c>
      <c r="H39" s="288">
        <f>+'General Expenses'!H525</f>
        <v>40428</v>
      </c>
    </row>
    <row r="40" spans="1:8" x14ac:dyDescent="0.25">
      <c r="A40" s="286" t="s">
        <v>422</v>
      </c>
      <c r="E40" s="293">
        <f>SUM(E25:E39)</f>
        <v>5134717.82</v>
      </c>
      <c r="F40" s="293">
        <f>SUM(F25:F39)</f>
        <v>4384109</v>
      </c>
      <c r="G40" s="293">
        <f>SUM(G25:G39)</f>
        <v>4616886</v>
      </c>
      <c r="H40" s="293">
        <f>SUM(H25:H39)</f>
        <v>4952782</v>
      </c>
    </row>
    <row r="41" spans="1:8" ht="18.399999999999999" customHeight="1" x14ac:dyDescent="0.25">
      <c r="E41" s="294"/>
      <c r="F41" s="294"/>
      <c r="G41" s="294"/>
      <c r="H41" s="294"/>
    </row>
    <row r="42" spans="1:8" x14ac:dyDescent="0.25">
      <c r="A42" s="286" t="s">
        <v>423</v>
      </c>
      <c r="E42" s="755">
        <f>+E20-E40</f>
        <v>425097.59999999963</v>
      </c>
      <c r="F42" s="291">
        <f>+F20-F40</f>
        <v>-528357</v>
      </c>
      <c r="G42" s="291">
        <f>+G20-G40</f>
        <v>-78941</v>
      </c>
      <c r="H42" s="291">
        <f>+H20-H40</f>
        <v>-252056</v>
      </c>
    </row>
    <row r="43" spans="1:8" ht="18" customHeight="1" x14ac:dyDescent="0.25"/>
    <row r="44" spans="1:8" x14ac:dyDescent="0.25">
      <c r="A44" s="937" t="s">
        <v>744</v>
      </c>
      <c r="B44" s="937"/>
      <c r="C44" s="833"/>
      <c r="D44" s="754">
        <v>474499</v>
      </c>
    </row>
    <row r="45" spans="1:8" x14ac:dyDescent="0.25">
      <c r="A45" s="937" t="s">
        <v>1422</v>
      </c>
      <c r="B45" s="937"/>
      <c r="C45" s="833"/>
      <c r="D45" s="754">
        <v>324486</v>
      </c>
    </row>
    <row r="46" spans="1:8" x14ac:dyDescent="0.25">
      <c r="A46" s="938" t="s">
        <v>1423</v>
      </c>
      <c r="B46" s="938"/>
      <c r="C46" s="834"/>
      <c r="D46" s="602">
        <v>1006874</v>
      </c>
    </row>
    <row r="47" spans="1:8" s="285" customFormat="1" x14ac:dyDescent="0.25">
      <c r="A47" s="935" t="s">
        <v>743</v>
      </c>
      <c r="B47" s="935"/>
      <c r="C47" s="936"/>
      <c r="D47" s="935"/>
      <c r="E47" s="515"/>
      <c r="F47" s="515">
        <f>D46+F20-F40</f>
        <v>478517</v>
      </c>
      <c r="G47" s="515">
        <f>D46+G20-G40</f>
        <v>927933</v>
      </c>
      <c r="H47" s="515">
        <f>D46+H20-H40</f>
        <v>754818</v>
      </c>
    </row>
    <row r="48" spans="1:8" x14ac:dyDescent="0.25">
      <c r="A48" s="285"/>
      <c r="C48" s="835"/>
      <c r="E48" s="520"/>
      <c r="F48" s="520">
        <f>F47/F40</f>
        <v>0.10914806178404779</v>
      </c>
      <c r="G48" s="520">
        <f>G47/G40</f>
        <v>0.200986769004043</v>
      </c>
      <c r="H48" s="520">
        <f>H47/H40</f>
        <v>0.1524028313784051</v>
      </c>
    </row>
    <row r="49" spans="2:3" x14ac:dyDescent="0.25">
      <c r="C49" s="835"/>
    </row>
    <row r="50" spans="2:3" x14ac:dyDescent="0.25">
      <c r="C50" s="835"/>
    </row>
    <row r="51" spans="2:3" x14ac:dyDescent="0.25">
      <c r="C51" s="835"/>
    </row>
    <row r="52" spans="2:3" x14ac:dyDescent="0.25">
      <c r="B52" s="841"/>
      <c r="C52" s="836"/>
    </row>
    <row r="53" spans="2:3" x14ac:dyDescent="0.25">
      <c r="C53" s="835"/>
    </row>
    <row r="54" spans="2:3" x14ac:dyDescent="0.25">
      <c r="B54" s="841"/>
      <c r="C54" s="836"/>
    </row>
    <row r="112" ht="9.6" customHeight="1" x14ac:dyDescent="0.25"/>
    <row r="121" ht="9" customHeight="1" x14ac:dyDescent="0.25"/>
    <row r="130" ht="6.95" customHeight="1" x14ac:dyDescent="0.25"/>
    <row r="147" ht="5.65" customHeight="1" x14ac:dyDescent="0.25"/>
    <row r="173" ht="8.65" customHeight="1" x14ac:dyDescent="0.25"/>
    <row r="180" ht="6" customHeight="1" x14ac:dyDescent="0.25"/>
    <row r="185" ht="7.35" customHeight="1" x14ac:dyDescent="0.25"/>
    <row r="202" ht="8.25" customHeight="1" x14ac:dyDescent="0.25"/>
    <row r="218" ht="7.9" customHeight="1" x14ac:dyDescent="0.25"/>
    <row r="228" ht="7.35" customHeight="1" x14ac:dyDescent="0.25"/>
    <row r="269" ht="8.25" customHeight="1" x14ac:dyDescent="0.25"/>
    <row r="287" ht="7.9" customHeight="1" x14ac:dyDescent="0.25"/>
    <row r="299" ht="6.95" customHeight="1" x14ac:dyDescent="0.25"/>
    <row r="310" ht="5.25" customHeight="1" x14ac:dyDescent="0.25"/>
    <row r="319" ht="6.6" customHeight="1" x14ac:dyDescent="0.25"/>
    <row r="325" ht="6.95" customHeight="1" x14ac:dyDescent="0.25"/>
    <row r="332" ht="6.95" customHeight="1" x14ac:dyDescent="0.25"/>
    <row r="337" ht="5.65" customHeight="1" x14ac:dyDescent="0.25"/>
    <row r="348" ht="6.6" customHeight="1" x14ac:dyDescent="0.25"/>
    <row r="357" ht="7.35" customHeight="1" x14ac:dyDescent="0.25"/>
    <row r="385" ht="8.25" customHeight="1" x14ac:dyDescent="0.25"/>
  </sheetData>
  <mergeCells count="10">
    <mergeCell ref="A47:D47"/>
    <mergeCell ref="A44:B44"/>
    <mergeCell ref="A45:B45"/>
    <mergeCell ref="A46:B46"/>
    <mergeCell ref="A22:H22"/>
    <mergeCell ref="A21:H21"/>
    <mergeCell ref="A23:H23"/>
    <mergeCell ref="A5:H8"/>
    <mergeCell ref="A9:H11"/>
    <mergeCell ref="A12:H12"/>
  </mergeCells>
  <phoneticPr fontId="71" type="noConversion"/>
  <pageMargins left="0.46" right="0.26" top="0.63" bottom="0.46" header="0.3" footer="0.3"/>
  <pageSetup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U44"/>
  <sheetViews>
    <sheetView zoomScale="90" workbookViewId="0">
      <pane xSplit="1" topLeftCell="B1" activePane="topRight" state="frozen"/>
      <selection activeCell="Q24" sqref="Q24"/>
      <selection pane="topRight" activeCell="D7" sqref="D7"/>
    </sheetView>
  </sheetViews>
  <sheetFormatPr defaultColWidth="9.140625" defaultRowHeight="12.75" x14ac:dyDescent="0.2"/>
  <cols>
    <col min="1" max="1" width="34.7109375" style="22" customWidth="1"/>
    <col min="2" max="2" width="12.28515625" style="70" bestFit="1" customWidth="1"/>
    <col min="3" max="3" width="10" style="21" bestFit="1" customWidth="1"/>
    <col min="4" max="4" width="11.140625" style="21" bestFit="1" customWidth="1"/>
    <col min="5" max="5" width="9.5703125" style="21" bestFit="1" customWidth="1"/>
    <col min="6" max="6" width="12.140625" style="21" bestFit="1" customWidth="1"/>
    <col min="7" max="7" width="9.5703125" style="21" bestFit="1" customWidth="1"/>
    <col min="8" max="9" width="11.140625" style="21" bestFit="1" customWidth="1"/>
    <col min="10" max="10" width="10.28515625" style="21" bestFit="1" customWidth="1"/>
    <col min="11" max="11" width="10.7109375" style="21" bestFit="1" customWidth="1"/>
    <col min="12" max="12" width="10.28515625" style="21" bestFit="1" customWidth="1"/>
    <col min="13" max="13" width="11.28515625" style="21" bestFit="1" customWidth="1"/>
    <col min="14" max="16" width="12.28515625" style="21" bestFit="1" customWidth="1"/>
    <col min="17" max="17" width="9.5703125" style="21" bestFit="1" customWidth="1"/>
    <col min="18" max="18" width="11.140625" style="21" bestFit="1" customWidth="1"/>
    <col min="19" max="19" width="10.5703125" style="323" bestFit="1" customWidth="1"/>
    <col min="20" max="20" width="5.28515625" style="22" bestFit="1" customWidth="1"/>
    <col min="21" max="21" width="10" style="23" bestFit="1" customWidth="1"/>
    <col min="22" max="22" width="5.5703125" style="22" bestFit="1" customWidth="1"/>
    <col min="23" max="23" width="28.5703125" style="22" bestFit="1" customWidth="1"/>
    <col min="24" max="16384" width="9.140625" style="22"/>
  </cols>
  <sheetData>
    <row r="1" spans="1:21" ht="15.75" x14ac:dyDescent="0.25">
      <c r="A1" s="18">
        <v>44797</v>
      </c>
      <c r="B1" s="19"/>
      <c r="C1" s="20"/>
      <c r="S1" s="320"/>
    </row>
    <row r="2" spans="1:21" s="24" customFormat="1" ht="38.25" thickBot="1" x14ac:dyDescent="0.55000000000000004">
      <c r="A2" s="950" t="s">
        <v>788</v>
      </c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U2" s="25"/>
    </row>
    <row r="3" spans="1:21" ht="19.5" thickBot="1" x14ac:dyDescent="0.35">
      <c r="A3" s="26" t="s">
        <v>217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21" ht="18.75" x14ac:dyDescent="0.3">
      <c r="A4" s="339" t="s">
        <v>789</v>
      </c>
      <c r="B4" s="467"/>
      <c r="C4" s="29" t="s">
        <v>112</v>
      </c>
      <c r="D4" s="29" t="s">
        <v>787</v>
      </c>
      <c r="E4" s="29" t="s">
        <v>115</v>
      </c>
      <c r="F4" s="29" t="s">
        <v>450</v>
      </c>
      <c r="G4" s="29" t="s">
        <v>235</v>
      </c>
      <c r="H4" s="29" t="s">
        <v>116</v>
      </c>
      <c r="I4" s="29" t="s">
        <v>117</v>
      </c>
      <c r="J4" s="29" t="s">
        <v>118</v>
      </c>
      <c r="K4" s="29" t="s">
        <v>118</v>
      </c>
      <c r="L4" s="29" t="s">
        <v>118</v>
      </c>
      <c r="M4" s="29" t="s">
        <v>119</v>
      </c>
      <c r="N4" s="29" t="s">
        <v>119</v>
      </c>
      <c r="O4" s="29" t="s">
        <v>119</v>
      </c>
      <c r="P4" s="29" t="s">
        <v>119</v>
      </c>
      <c r="Q4" s="28"/>
      <c r="R4" s="29" t="s">
        <v>120</v>
      </c>
      <c r="S4" s="28"/>
    </row>
    <row r="5" spans="1:21" s="30" customFormat="1" ht="11.25" x14ac:dyDescent="0.2">
      <c r="B5" s="31"/>
      <c r="C5" s="29" t="s">
        <v>121</v>
      </c>
      <c r="D5" s="29" t="s">
        <v>121</v>
      </c>
      <c r="E5" s="29" t="s">
        <v>121</v>
      </c>
      <c r="F5" s="29" t="s">
        <v>121</v>
      </c>
      <c r="G5" s="29" t="s">
        <v>121</v>
      </c>
      <c r="H5" s="29" t="s">
        <v>121</v>
      </c>
      <c r="I5" s="29" t="s">
        <v>122</v>
      </c>
      <c r="J5" s="29" t="s">
        <v>123</v>
      </c>
      <c r="K5" s="29" t="s">
        <v>124</v>
      </c>
      <c r="L5" s="29" t="s">
        <v>125</v>
      </c>
      <c r="M5" s="29" t="s">
        <v>126</v>
      </c>
      <c r="N5" s="29" t="s">
        <v>127</v>
      </c>
      <c r="O5" s="29" t="s">
        <v>435</v>
      </c>
      <c r="P5" s="29" t="s">
        <v>128</v>
      </c>
      <c r="Q5" s="29" t="s">
        <v>129</v>
      </c>
      <c r="R5" s="29" t="s">
        <v>130</v>
      </c>
      <c r="S5" s="321"/>
      <c r="U5" s="32"/>
    </row>
    <row r="6" spans="1:21" s="39" customFormat="1" ht="13.5" thickBot="1" x14ac:dyDescent="0.25">
      <c r="A6" s="33" t="s">
        <v>131</v>
      </c>
      <c r="B6" s="34"/>
      <c r="C6" s="35" t="s">
        <v>132</v>
      </c>
      <c r="D6" s="35" t="s">
        <v>133</v>
      </c>
      <c r="E6" s="35" t="s">
        <v>134</v>
      </c>
      <c r="F6" s="35"/>
      <c r="G6" s="35"/>
      <c r="H6" s="35" t="s">
        <v>135</v>
      </c>
      <c r="I6" s="35" t="s">
        <v>136</v>
      </c>
      <c r="J6" s="35" t="s">
        <v>137</v>
      </c>
      <c r="K6" s="35" t="s">
        <v>138</v>
      </c>
      <c r="L6" s="35" t="s">
        <v>139</v>
      </c>
      <c r="M6" s="35" t="s">
        <v>140</v>
      </c>
      <c r="N6" s="35" t="s">
        <v>141</v>
      </c>
      <c r="O6" s="35" t="s">
        <v>142</v>
      </c>
      <c r="P6" s="35" t="s">
        <v>143</v>
      </c>
      <c r="Q6" s="35" t="s">
        <v>144</v>
      </c>
      <c r="R6" s="35" t="s">
        <v>145</v>
      </c>
      <c r="S6" s="36" t="s">
        <v>146</v>
      </c>
      <c r="T6" s="37"/>
      <c r="U6" s="38"/>
    </row>
    <row r="7" spans="1:21" s="39" customFormat="1" x14ac:dyDescent="0.2">
      <c r="A7" s="553" t="s">
        <v>811</v>
      </c>
      <c r="B7" s="551"/>
      <c r="C7" s="552"/>
      <c r="D7" s="554">
        <f>5.5*185*16.25</f>
        <v>16534.375</v>
      </c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439">
        <f>SUM(C7:R7)</f>
        <v>16534.375</v>
      </c>
      <c r="T7" s="37"/>
      <c r="U7" s="38"/>
    </row>
    <row r="8" spans="1:21" x14ac:dyDescent="0.2">
      <c r="A8" s="538" t="s">
        <v>790</v>
      </c>
      <c r="B8" s="41"/>
      <c r="C8" s="46">
        <f>(0.5*16.25*185)</f>
        <v>1503.125</v>
      </c>
      <c r="D8" s="539">
        <f>(3.5*16.25*185)</f>
        <v>10521.875</v>
      </c>
      <c r="E8" s="44"/>
      <c r="F8" s="44"/>
      <c r="G8" s="540"/>
      <c r="H8" s="541"/>
      <c r="I8" s="44"/>
      <c r="J8" s="44"/>
      <c r="K8" s="44"/>
      <c r="L8" s="44"/>
      <c r="M8" s="542"/>
      <c r="N8" s="44"/>
      <c r="O8" s="44"/>
      <c r="P8" s="44"/>
      <c r="Q8" s="44"/>
      <c r="R8" s="44"/>
      <c r="S8" s="51">
        <f>SUM(C8:R8)</f>
        <v>12025</v>
      </c>
      <c r="T8" s="45">
        <f t="shared" ref="T8:T35" si="0">SUM(C8:R8)-S8</f>
        <v>0</v>
      </c>
      <c r="U8" s="44"/>
    </row>
    <row r="9" spans="1:21" x14ac:dyDescent="0.2">
      <c r="A9" s="543" t="s">
        <v>791</v>
      </c>
      <c r="B9" s="41"/>
      <c r="C9" s="43"/>
      <c r="D9" s="43"/>
      <c r="E9" s="44"/>
      <c r="F9" s="44"/>
      <c r="G9" s="44"/>
      <c r="H9" s="44"/>
      <c r="I9" s="44"/>
      <c r="J9" s="44"/>
      <c r="K9" s="44"/>
      <c r="L9" s="44"/>
      <c r="M9" s="50"/>
      <c r="N9" s="44"/>
      <c r="O9" s="44"/>
      <c r="P9" s="47">
        <f>6*185*14.25</f>
        <v>15817.5</v>
      </c>
      <c r="Q9" s="47">
        <f>1*185*15.75</f>
        <v>2913.75</v>
      </c>
      <c r="R9" s="44"/>
      <c r="S9" s="51">
        <f>SUM(C9:R9)</f>
        <v>18731.25</v>
      </c>
      <c r="T9" s="45">
        <f t="shared" si="0"/>
        <v>0</v>
      </c>
      <c r="U9" s="44"/>
    </row>
    <row r="10" spans="1:21" x14ac:dyDescent="0.2">
      <c r="A10" s="543" t="s">
        <v>792</v>
      </c>
      <c r="B10" s="41"/>
      <c r="C10" s="43"/>
      <c r="D10" s="43"/>
      <c r="E10" s="4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>
        <f>+(S10*85.72%)</f>
        <v>342.88</v>
      </c>
      <c r="Q10" s="44">
        <f>+S10*(1/7)</f>
        <v>57.142857142857139</v>
      </c>
      <c r="R10" s="44"/>
      <c r="S10" s="544">
        <v>400</v>
      </c>
      <c r="T10" s="45"/>
      <c r="U10" s="44"/>
    </row>
    <row r="11" spans="1:21" x14ac:dyDescent="0.2">
      <c r="A11" s="543" t="s">
        <v>793</v>
      </c>
      <c r="B11" s="41"/>
      <c r="C11" s="43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7">
        <f>5*14.25*185</f>
        <v>13181.25</v>
      </c>
      <c r="O11" s="44"/>
      <c r="P11" s="44"/>
      <c r="Q11" s="47">
        <f>2*185*15.75</f>
        <v>5827.5</v>
      </c>
      <c r="R11" s="44"/>
      <c r="S11" s="51">
        <f>SUM(C11:R11)</f>
        <v>19008.75</v>
      </c>
      <c r="T11" s="45">
        <f t="shared" si="0"/>
        <v>0</v>
      </c>
      <c r="U11" s="44"/>
    </row>
    <row r="12" spans="1:21" x14ac:dyDescent="0.2">
      <c r="A12" s="543" t="s">
        <v>794</v>
      </c>
      <c r="B12" s="41"/>
      <c r="C12" s="43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542">
        <f>+S12*5/7</f>
        <v>285.71428571428572</v>
      </c>
      <c r="O12" s="44"/>
      <c r="P12" s="44"/>
      <c r="Q12" s="542">
        <f>+S12*2/7</f>
        <v>114.28571428571429</v>
      </c>
      <c r="R12" s="44"/>
      <c r="S12" s="544">
        <v>400</v>
      </c>
      <c r="T12" s="45"/>
      <c r="U12" s="44"/>
    </row>
    <row r="13" spans="1:21" x14ac:dyDescent="0.2">
      <c r="A13" s="538" t="s">
        <v>795</v>
      </c>
      <c r="B13" s="41"/>
      <c r="C13" s="42"/>
      <c r="D13" s="43"/>
      <c r="E13" s="42"/>
      <c r="F13" s="44"/>
      <c r="G13" s="319"/>
      <c r="H13" s="319"/>
      <c r="I13" s="44"/>
      <c r="J13" s="47">
        <f>8*240*16.76</f>
        <v>32179.200000000004</v>
      </c>
      <c r="K13" s="44"/>
      <c r="L13" s="44"/>
      <c r="M13" s="42"/>
      <c r="N13" s="44"/>
      <c r="O13" s="44"/>
      <c r="P13" s="44"/>
      <c r="Q13" s="22"/>
      <c r="R13" s="44"/>
      <c r="S13" s="51">
        <f>SUM(C13:R13)</f>
        <v>32179.200000000004</v>
      </c>
      <c r="T13" s="45">
        <f t="shared" si="0"/>
        <v>0</v>
      </c>
      <c r="U13" s="44"/>
    </row>
    <row r="14" spans="1:21" x14ac:dyDescent="0.2">
      <c r="A14" s="40" t="s">
        <v>147</v>
      </c>
      <c r="B14" s="41"/>
      <c r="C14" s="42"/>
      <c r="D14" s="43"/>
      <c r="E14" s="42"/>
      <c r="F14" s="44"/>
      <c r="G14" s="319"/>
      <c r="H14" s="304"/>
      <c r="I14" s="44"/>
      <c r="J14" s="44">
        <f>+S14</f>
        <v>800</v>
      </c>
      <c r="K14" s="44"/>
      <c r="L14" s="44"/>
      <c r="M14" s="42"/>
      <c r="N14" s="44"/>
      <c r="O14" s="44"/>
      <c r="P14" s="44"/>
      <c r="Q14" s="22"/>
      <c r="R14" s="44"/>
      <c r="S14" s="322">
        <v>800</v>
      </c>
      <c r="T14" s="45">
        <f t="shared" si="0"/>
        <v>0</v>
      </c>
      <c r="U14" s="44"/>
    </row>
    <row r="15" spans="1:21" x14ac:dyDescent="0.2">
      <c r="A15" s="538" t="s">
        <v>810</v>
      </c>
      <c r="B15" s="41"/>
      <c r="C15" s="46">
        <f>6*185*16.25</f>
        <v>18037.5</v>
      </c>
      <c r="D15" s="43"/>
      <c r="E15" s="42"/>
      <c r="F15" s="44"/>
      <c r="G15" s="319"/>
      <c r="H15" s="304"/>
      <c r="I15" s="44"/>
      <c r="J15" s="44"/>
      <c r="K15" s="44"/>
      <c r="L15" s="44"/>
      <c r="M15" s="46">
        <f>1*185*16.25</f>
        <v>3006.25</v>
      </c>
      <c r="N15" s="44"/>
      <c r="O15" s="44"/>
      <c r="P15" s="44"/>
      <c r="Q15" s="22"/>
      <c r="R15" s="44"/>
      <c r="S15" s="51">
        <f>SUM(C15:R15)</f>
        <v>21043.75</v>
      </c>
      <c r="T15" s="45"/>
      <c r="U15" s="44"/>
    </row>
    <row r="16" spans="1:21" x14ac:dyDescent="0.2">
      <c r="A16" s="22" t="s">
        <v>595</v>
      </c>
      <c r="B16" s="41"/>
      <c r="C16" s="43"/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152"/>
      <c r="R16" s="47">
        <f>+(6.5*17.3*185)</f>
        <v>20803.25</v>
      </c>
      <c r="S16" s="51">
        <f>SUM(C16:R16)</f>
        <v>20803.25</v>
      </c>
      <c r="T16" s="45">
        <f t="shared" si="0"/>
        <v>0</v>
      </c>
      <c r="U16" s="44"/>
    </row>
    <row r="17" spans="1:21" x14ac:dyDescent="0.2">
      <c r="A17" s="22" t="s">
        <v>148</v>
      </c>
      <c r="B17" s="41"/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>
        <f>+S17</f>
        <v>800</v>
      </c>
      <c r="S17" s="322">
        <v>800</v>
      </c>
      <c r="T17" s="45">
        <f t="shared" si="0"/>
        <v>0</v>
      </c>
      <c r="U17" s="44"/>
    </row>
    <row r="18" spans="1:21" x14ac:dyDescent="0.2">
      <c r="A18" s="538" t="s">
        <v>796</v>
      </c>
      <c r="B18" s="41"/>
      <c r="C18" s="43"/>
      <c r="D18" s="43"/>
      <c r="E18" s="44"/>
      <c r="F18" s="44"/>
      <c r="G18" s="44"/>
      <c r="H18" s="44"/>
      <c r="I18" s="44"/>
      <c r="J18" s="44"/>
      <c r="K18" s="546">
        <f>4*240*17.76</f>
        <v>17049.600000000002</v>
      </c>
      <c r="L18" s="47">
        <f>4*240*17.76</f>
        <v>17049.600000000002</v>
      </c>
      <c r="M18" s="44"/>
      <c r="N18" s="44"/>
      <c r="O18" s="22"/>
      <c r="P18" s="22"/>
      <c r="Q18" s="44"/>
      <c r="R18" s="44"/>
      <c r="S18" s="51">
        <f>SUM(C18:R18)</f>
        <v>34099.200000000004</v>
      </c>
      <c r="T18" s="45">
        <f t="shared" si="0"/>
        <v>0</v>
      </c>
      <c r="U18" s="44"/>
    </row>
    <row r="19" spans="1:21" x14ac:dyDescent="0.2">
      <c r="A19" s="40" t="s">
        <v>149</v>
      </c>
      <c r="B19" s="41"/>
      <c r="C19" s="43"/>
      <c r="D19" s="43"/>
      <c r="E19" s="44"/>
      <c r="F19" s="44"/>
      <c r="G19" s="44"/>
      <c r="H19" s="44"/>
      <c r="I19" s="44"/>
      <c r="J19" s="44"/>
      <c r="K19" s="44">
        <f>+S19*4/8</f>
        <v>250</v>
      </c>
      <c r="L19" s="44">
        <f>+S19*4/8</f>
        <v>250</v>
      </c>
      <c r="M19" s="44"/>
      <c r="N19" s="44"/>
      <c r="O19" s="22"/>
      <c r="P19" s="22"/>
      <c r="Q19" s="44"/>
      <c r="R19" s="44"/>
      <c r="S19" s="322">
        <v>500</v>
      </c>
      <c r="T19" s="45">
        <f t="shared" si="0"/>
        <v>0</v>
      </c>
      <c r="U19" s="44"/>
    </row>
    <row r="20" spans="1:21" x14ac:dyDescent="0.2">
      <c r="A20" s="538" t="s">
        <v>797</v>
      </c>
      <c r="B20" s="41"/>
      <c r="C20" s="42"/>
      <c r="D20" s="43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7">
        <f>6.5*17.3*185</f>
        <v>20803.25</v>
      </c>
      <c r="S20" s="51">
        <f>SUM(C20:R20)</f>
        <v>20803.25</v>
      </c>
      <c r="T20" s="45">
        <f t="shared" si="0"/>
        <v>0</v>
      </c>
      <c r="U20" s="44"/>
    </row>
    <row r="21" spans="1:21" x14ac:dyDescent="0.2">
      <c r="A21" s="40" t="s">
        <v>150</v>
      </c>
      <c r="B21" s="41"/>
      <c r="C21" s="42"/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>
        <f>+S21*100%</f>
        <v>900</v>
      </c>
      <c r="S21" s="322">
        <v>900</v>
      </c>
      <c r="T21" s="45">
        <f t="shared" si="0"/>
        <v>0</v>
      </c>
      <c r="U21" s="44"/>
    </row>
    <row r="22" spans="1:21" x14ac:dyDescent="0.2">
      <c r="A22" s="538" t="s">
        <v>798</v>
      </c>
      <c r="B22" s="41"/>
      <c r="C22" s="42"/>
      <c r="D22" s="43"/>
      <c r="E22" s="22"/>
      <c r="F22" s="50"/>
      <c r="G22" s="44"/>
      <c r="H22" s="22"/>
      <c r="I22" s="319"/>
      <c r="J22" s="44"/>
      <c r="K22" s="44"/>
      <c r="L22" s="44"/>
      <c r="M22" s="42"/>
      <c r="N22" s="44"/>
      <c r="O22" s="44"/>
      <c r="P22" s="44"/>
      <c r="Q22" s="47">
        <f>8*260*16.75</f>
        <v>34840</v>
      </c>
      <c r="R22" s="44"/>
      <c r="S22" s="51">
        <f>SUM(C22:R22)</f>
        <v>34840</v>
      </c>
      <c r="T22" s="45">
        <f t="shared" si="0"/>
        <v>0</v>
      </c>
      <c r="U22" s="44"/>
    </row>
    <row r="23" spans="1:21" x14ac:dyDescent="0.2">
      <c r="A23" s="538" t="s">
        <v>799</v>
      </c>
      <c r="B23" s="4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44"/>
      <c r="O23" s="44"/>
      <c r="P23" s="44"/>
      <c r="Q23" s="47">
        <f>8*260*15.75</f>
        <v>32760</v>
      </c>
      <c r="R23" s="22"/>
      <c r="S23" s="51">
        <f>SUM(C23:R23)</f>
        <v>32760</v>
      </c>
      <c r="T23" s="45">
        <f t="shared" si="0"/>
        <v>0</v>
      </c>
      <c r="U23" s="44"/>
    </row>
    <row r="24" spans="1:21" x14ac:dyDescent="0.2">
      <c r="A24" s="538" t="s">
        <v>800</v>
      </c>
      <c r="B24" s="48"/>
      <c r="C24" s="49"/>
      <c r="D24" s="50"/>
      <c r="E24" s="50"/>
      <c r="F24" s="546">
        <f>7.75*15.25*185</f>
        <v>21864.6875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>
        <f>SUM(C24:R24)</f>
        <v>21864.6875</v>
      </c>
      <c r="T24" s="45">
        <f t="shared" si="0"/>
        <v>0</v>
      </c>
      <c r="U24" s="44"/>
    </row>
    <row r="25" spans="1:21" x14ac:dyDescent="0.2">
      <c r="A25" s="538" t="s">
        <v>812</v>
      </c>
      <c r="B25" s="48"/>
      <c r="C25" s="49"/>
      <c r="D25" s="546">
        <f>5.5*185*16.25</f>
        <v>16534.375</v>
      </c>
      <c r="E25" s="50"/>
      <c r="F25" s="546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45"/>
      <c r="U25" s="44"/>
    </row>
    <row r="26" spans="1:21" s="52" customFormat="1" x14ac:dyDescent="0.2">
      <c r="A26" s="538" t="s">
        <v>801</v>
      </c>
      <c r="B26" s="48"/>
      <c r="C26" s="548">
        <f>2.25*185*16.25</f>
        <v>6764.0625</v>
      </c>
      <c r="D26" s="50"/>
      <c r="E26" s="546">
        <f>4.75*185*16.25</f>
        <v>14279.6875</v>
      </c>
      <c r="F26" s="50"/>
      <c r="G26" s="50"/>
      <c r="H26" s="50"/>
      <c r="I26" s="50"/>
      <c r="J26" s="50"/>
      <c r="K26" s="50"/>
      <c r="L26" s="50"/>
      <c r="M26" s="546">
        <f>1*185*16.25</f>
        <v>3006.25</v>
      </c>
      <c r="N26" s="50"/>
      <c r="O26" s="50"/>
      <c r="P26" s="50"/>
      <c r="Q26" s="50"/>
      <c r="R26" s="50"/>
      <c r="S26" s="51">
        <f>SUM(C26:R26)</f>
        <v>24050</v>
      </c>
      <c r="T26" s="45">
        <f t="shared" si="0"/>
        <v>0</v>
      </c>
      <c r="U26" s="50"/>
    </row>
    <row r="27" spans="1:21" x14ac:dyDescent="0.2">
      <c r="A27" s="538" t="s">
        <v>802</v>
      </c>
      <c r="B27" s="41"/>
      <c r="C27" s="22"/>
      <c r="D27" s="22"/>
      <c r="E27" s="22"/>
      <c r="F27" s="47">
        <f>8*185*16.25</f>
        <v>24050</v>
      </c>
      <c r="G27" s="22"/>
      <c r="H27" s="22"/>
      <c r="I27" s="22"/>
      <c r="J27" s="22"/>
      <c r="K27" s="22"/>
      <c r="L27" s="22"/>
      <c r="M27" s="22"/>
      <c r="N27" s="44"/>
      <c r="O27" s="44"/>
      <c r="P27" s="44"/>
      <c r="Q27" s="44"/>
      <c r="R27" s="22"/>
      <c r="S27" s="51">
        <f>SUM(C27:R27)</f>
        <v>24050</v>
      </c>
      <c r="T27" s="45">
        <f>SUM(C27:R27)-S27</f>
        <v>0</v>
      </c>
      <c r="U27" s="44"/>
    </row>
    <row r="28" spans="1:21" x14ac:dyDescent="0.2">
      <c r="A28" s="538" t="s">
        <v>803</v>
      </c>
      <c r="B28" s="41"/>
      <c r="C28" s="170">
        <f>2.25*16.25*185</f>
        <v>6764.0625</v>
      </c>
      <c r="D28" s="319"/>
      <c r="E28" s="319"/>
      <c r="F28" s="44"/>
      <c r="G28" s="169"/>
      <c r="H28" s="548">
        <f>4.75*16.25*185</f>
        <v>14279.6875</v>
      </c>
      <c r="I28" s="44"/>
      <c r="J28" s="44"/>
      <c r="K28" s="44"/>
      <c r="L28" s="44"/>
      <c r="M28" s="170">
        <f>1*185*16.25</f>
        <v>3006.25</v>
      </c>
      <c r="N28" s="44"/>
      <c r="O28" s="44"/>
      <c r="P28" s="44"/>
      <c r="Q28" s="22"/>
      <c r="R28" s="44"/>
      <c r="S28" s="51">
        <f>SUM(C28:R28)</f>
        <v>24050</v>
      </c>
      <c r="T28" s="45">
        <f t="shared" si="0"/>
        <v>0</v>
      </c>
      <c r="U28" s="44"/>
    </row>
    <row r="29" spans="1:21" x14ac:dyDescent="0.2">
      <c r="A29" s="538" t="s">
        <v>804</v>
      </c>
      <c r="B29" s="41"/>
      <c r="C29" s="319">
        <f>+S29*2.25/8</f>
        <v>112.5</v>
      </c>
      <c r="D29" s="319"/>
      <c r="E29" s="319"/>
      <c r="F29" s="44">
        <f>+S29*4.75/8</f>
        <v>237.5</v>
      </c>
      <c r="G29" s="169"/>
      <c r="H29" s="547"/>
      <c r="I29" s="44"/>
      <c r="J29" s="44"/>
      <c r="K29" s="44"/>
      <c r="L29" s="44"/>
      <c r="M29" s="319">
        <f>+S29*1/8</f>
        <v>50</v>
      </c>
      <c r="N29" s="44"/>
      <c r="O29" s="44"/>
      <c r="P29" s="44"/>
      <c r="Q29" s="22"/>
      <c r="R29" s="44"/>
      <c r="S29" s="544">
        <v>400</v>
      </c>
      <c r="T29" s="45"/>
      <c r="U29" s="44"/>
    </row>
    <row r="30" spans="1:21" x14ac:dyDescent="0.2">
      <c r="A30" s="538" t="s">
        <v>805</v>
      </c>
      <c r="B30" s="41"/>
      <c r="C30" s="42"/>
      <c r="D30" s="43"/>
      <c r="E30" s="22"/>
      <c r="F30" s="170">
        <f>1.75*185*15.25</f>
        <v>4937.1875</v>
      </c>
      <c r="G30" s="550">
        <f>2.5*185*15.25</f>
        <v>7053.125</v>
      </c>
      <c r="H30" s="346"/>
      <c r="I30" s="44"/>
      <c r="J30" s="44"/>
      <c r="K30" s="44"/>
      <c r="L30" s="44"/>
      <c r="M30" s="546">
        <f>1.75*185*15.25</f>
        <v>4937.1875</v>
      </c>
      <c r="N30" s="44"/>
      <c r="O30" s="44"/>
      <c r="P30" s="44"/>
      <c r="Q30" s="44"/>
      <c r="R30" s="44"/>
      <c r="S30" s="51">
        <f>SUM(C30:R30)</f>
        <v>16927.5</v>
      </c>
      <c r="T30" s="45">
        <f t="shared" si="0"/>
        <v>0</v>
      </c>
      <c r="U30" s="44"/>
    </row>
    <row r="31" spans="1:21" x14ac:dyDescent="0.2">
      <c r="A31" s="538" t="s">
        <v>806</v>
      </c>
      <c r="B31" s="41"/>
      <c r="C31" s="42"/>
      <c r="D31" s="43"/>
      <c r="E31" s="22"/>
      <c r="F31" s="319"/>
      <c r="G31" s="549"/>
      <c r="H31" s="346"/>
      <c r="I31" s="44"/>
      <c r="J31" s="44"/>
      <c r="K31" s="44"/>
      <c r="L31" s="44"/>
      <c r="M31" s="545"/>
      <c r="N31" s="44"/>
      <c r="O31" s="44"/>
      <c r="P31" s="44"/>
      <c r="Q31" s="47">
        <f>2*185*15.75</f>
        <v>5827.5</v>
      </c>
      <c r="R31" s="47">
        <f>5*185*17.3</f>
        <v>16002.5</v>
      </c>
      <c r="S31" s="51">
        <f>SUM(C30:R30)</f>
        <v>16927.5</v>
      </c>
      <c r="T31" s="45"/>
      <c r="U31" s="44"/>
    </row>
    <row r="32" spans="1:21" x14ac:dyDescent="0.2">
      <c r="A32" s="538" t="s">
        <v>807</v>
      </c>
      <c r="B32" s="41"/>
      <c r="C32" s="42"/>
      <c r="D32" s="43"/>
      <c r="E32" s="22"/>
      <c r="F32" s="319"/>
      <c r="G32" s="549"/>
      <c r="H32" s="346"/>
      <c r="I32" s="44"/>
      <c r="J32" s="44"/>
      <c r="K32" s="44"/>
      <c r="L32" s="44"/>
      <c r="M32" s="545"/>
      <c r="N32" s="47">
        <f>8*185*16.25</f>
        <v>24050</v>
      </c>
      <c r="O32" s="44"/>
      <c r="P32" s="44"/>
      <c r="Q32" s="44"/>
      <c r="R32" s="44"/>
      <c r="S32" s="51">
        <f>SUM(C32:R32)</f>
        <v>24050</v>
      </c>
      <c r="T32" s="45"/>
      <c r="U32" s="44"/>
    </row>
    <row r="33" spans="1:21" x14ac:dyDescent="0.2">
      <c r="A33" s="543" t="s">
        <v>808</v>
      </c>
      <c r="B33" s="41"/>
      <c r="C33" s="43"/>
      <c r="D33" s="53"/>
      <c r="E33" s="44"/>
      <c r="F33" s="43"/>
      <c r="G33" s="44"/>
      <c r="H33" s="44"/>
      <c r="I33" s="44"/>
      <c r="J33" s="44"/>
      <c r="K33" s="44"/>
      <c r="L33" s="44"/>
      <c r="M33" s="44"/>
      <c r="N33" s="22"/>
      <c r="O33" s="44"/>
      <c r="P33" s="47">
        <f>7*185*15.25</f>
        <v>19748.75</v>
      </c>
      <c r="Q33" s="44"/>
      <c r="R33" s="44"/>
      <c r="S33" s="51">
        <f>SUM(C33:R33)</f>
        <v>19748.75</v>
      </c>
      <c r="T33" s="45">
        <f t="shared" si="0"/>
        <v>0</v>
      </c>
      <c r="U33" s="44"/>
    </row>
    <row r="34" spans="1:21" x14ac:dyDescent="0.2">
      <c r="A34" s="543" t="s">
        <v>152</v>
      </c>
      <c r="B34" s="41"/>
      <c r="C34" s="43"/>
      <c r="D34" s="53"/>
      <c r="E34" s="44"/>
      <c r="F34" s="43"/>
      <c r="G34" s="44"/>
      <c r="H34" s="44"/>
      <c r="I34" s="44"/>
      <c r="J34" s="44"/>
      <c r="K34" s="44"/>
      <c r="L34" s="44"/>
      <c r="M34" s="44"/>
      <c r="N34" s="22"/>
      <c r="O34" s="44"/>
      <c r="P34" s="44"/>
      <c r="Q34" s="44"/>
      <c r="R34" s="44"/>
      <c r="S34" s="544">
        <v>700</v>
      </c>
      <c r="T34" s="45"/>
      <c r="U34" s="44"/>
    </row>
    <row r="35" spans="1:21" x14ac:dyDescent="0.2">
      <c r="A35" s="543" t="s">
        <v>809</v>
      </c>
      <c r="B35" s="41"/>
      <c r="C35" s="43"/>
      <c r="D35" s="539">
        <f>7*185*15.25</f>
        <v>19748.75</v>
      </c>
      <c r="E35" s="44"/>
      <c r="F35" s="43"/>
      <c r="G35" s="44"/>
      <c r="H35" s="44"/>
      <c r="I35" s="44"/>
      <c r="J35" s="44"/>
      <c r="K35" s="44"/>
      <c r="L35" s="44"/>
      <c r="M35" s="44"/>
      <c r="N35" s="22"/>
      <c r="O35" s="44"/>
      <c r="P35" s="44"/>
      <c r="Q35" s="44"/>
      <c r="R35" s="44"/>
      <c r="S35" s="51">
        <f>SUM(C35:R35)</f>
        <v>19748.75</v>
      </c>
      <c r="T35" s="45">
        <f t="shared" si="0"/>
        <v>0</v>
      </c>
      <c r="U35" s="44"/>
    </row>
    <row r="36" spans="1:21" s="57" customFormat="1" x14ac:dyDescent="0.2">
      <c r="A36" s="54" t="s">
        <v>153</v>
      </c>
      <c r="B36" s="55"/>
      <c r="C36" s="56">
        <f t="shared" ref="C36:S36" si="1">SUM(C7:C35)</f>
        <v>33181.25</v>
      </c>
      <c r="D36" s="56">
        <f t="shared" si="1"/>
        <v>63339.375</v>
      </c>
      <c r="E36" s="56">
        <f t="shared" si="1"/>
        <v>14279.6875</v>
      </c>
      <c r="F36" s="56">
        <f t="shared" si="1"/>
        <v>51089.375</v>
      </c>
      <c r="G36" s="56">
        <f t="shared" si="1"/>
        <v>7053.125</v>
      </c>
      <c r="H36" s="56">
        <f t="shared" si="1"/>
        <v>14279.6875</v>
      </c>
      <c r="I36" s="56">
        <f t="shared" si="1"/>
        <v>0</v>
      </c>
      <c r="J36" s="56">
        <f t="shared" si="1"/>
        <v>32979.200000000004</v>
      </c>
      <c r="K36" s="56">
        <f t="shared" si="1"/>
        <v>17299.600000000002</v>
      </c>
      <c r="L36" s="56">
        <f t="shared" si="1"/>
        <v>17299.600000000002</v>
      </c>
      <c r="M36" s="56">
        <f t="shared" si="1"/>
        <v>14005.9375</v>
      </c>
      <c r="N36" s="56">
        <f t="shared" si="1"/>
        <v>37516.96428571429</v>
      </c>
      <c r="O36" s="56">
        <f t="shared" si="1"/>
        <v>0</v>
      </c>
      <c r="P36" s="56">
        <f t="shared" si="1"/>
        <v>35909.129999999997</v>
      </c>
      <c r="Q36" s="56">
        <f t="shared" si="1"/>
        <v>82340.17857142858</v>
      </c>
      <c r="R36" s="56">
        <f t="shared" si="1"/>
        <v>59309</v>
      </c>
      <c r="S36" s="56">
        <f t="shared" si="1"/>
        <v>459145.21250000002</v>
      </c>
      <c r="U36" s="58"/>
    </row>
    <row r="37" spans="1:21" x14ac:dyDescent="0.2">
      <c r="S37" s="367"/>
    </row>
    <row r="38" spans="1:21" s="62" customFormat="1" ht="15" x14ac:dyDescent="0.2">
      <c r="A38" s="59" t="s">
        <v>154</v>
      </c>
      <c r="B38" s="60">
        <v>0.3</v>
      </c>
      <c r="C38" s="61">
        <f>+C36*$B$38</f>
        <v>9954.375</v>
      </c>
      <c r="D38" s="61">
        <f t="shared" ref="D38:S38" si="2">+D36*$B$38</f>
        <v>19001.8125</v>
      </c>
      <c r="E38" s="61">
        <f t="shared" si="2"/>
        <v>4283.90625</v>
      </c>
      <c r="F38" s="61">
        <f t="shared" si="2"/>
        <v>15326.8125</v>
      </c>
      <c r="G38" s="61">
        <f t="shared" si="2"/>
        <v>2115.9375</v>
      </c>
      <c r="H38" s="61">
        <f t="shared" si="2"/>
        <v>4283.90625</v>
      </c>
      <c r="I38" s="61">
        <f t="shared" si="2"/>
        <v>0</v>
      </c>
      <c r="J38" s="61">
        <f t="shared" si="2"/>
        <v>9893.76</v>
      </c>
      <c r="K38" s="61">
        <f t="shared" si="2"/>
        <v>5189.88</v>
      </c>
      <c r="L38" s="61">
        <f t="shared" si="2"/>
        <v>5189.88</v>
      </c>
      <c r="M38" s="61">
        <f t="shared" si="2"/>
        <v>4201.78125</v>
      </c>
      <c r="N38" s="61">
        <f t="shared" si="2"/>
        <v>11255.089285714286</v>
      </c>
      <c r="O38" s="61">
        <f t="shared" si="2"/>
        <v>0</v>
      </c>
      <c r="P38" s="61">
        <f t="shared" si="2"/>
        <v>10772.739</v>
      </c>
      <c r="Q38" s="61">
        <f t="shared" si="2"/>
        <v>24702.053571428572</v>
      </c>
      <c r="R38" s="61">
        <f t="shared" si="2"/>
        <v>17792.7</v>
      </c>
      <c r="S38" s="61">
        <f t="shared" si="2"/>
        <v>137743.56375</v>
      </c>
      <c r="U38" s="47"/>
    </row>
    <row r="39" spans="1:21" s="52" customFormat="1" ht="15" x14ac:dyDescent="0.2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U39" s="65"/>
    </row>
    <row r="40" spans="1:21" s="68" customFormat="1" ht="15" x14ac:dyDescent="0.2">
      <c r="A40" s="66" t="s">
        <v>155</v>
      </c>
      <c r="B40" s="67">
        <v>7.6499999999999999E-2</v>
      </c>
      <c r="C40" s="61">
        <f>+C36*$B$40</f>
        <v>2538.3656249999999</v>
      </c>
      <c r="D40" s="61">
        <f t="shared" ref="D40:S40" si="3">+D36*$B$40</f>
        <v>4845.4621875000003</v>
      </c>
      <c r="E40" s="61">
        <f t="shared" si="3"/>
        <v>1092.3960937500001</v>
      </c>
      <c r="F40" s="61">
        <f t="shared" si="3"/>
        <v>3908.3371874999998</v>
      </c>
      <c r="G40" s="61">
        <f t="shared" si="3"/>
        <v>539.56406249999998</v>
      </c>
      <c r="H40" s="61">
        <f t="shared" si="3"/>
        <v>1092.3960937500001</v>
      </c>
      <c r="I40" s="61">
        <f t="shared" si="3"/>
        <v>0</v>
      </c>
      <c r="J40" s="61">
        <f t="shared" si="3"/>
        <v>2522.9088000000002</v>
      </c>
      <c r="K40" s="61">
        <f t="shared" si="3"/>
        <v>1323.4194000000002</v>
      </c>
      <c r="L40" s="61">
        <f t="shared" si="3"/>
        <v>1323.4194000000002</v>
      </c>
      <c r="M40" s="61">
        <f t="shared" si="3"/>
        <v>1071.4542187499999</v>
      </c>
      <c r="N40" s="61">
        <f t="shared" si="3"/>
        <v>2870.0477678571433</v>
      </c>
      <c r="O40" s="61">
        <f t="shared" si="3"/>
        <v>0</v>
      </c>
      <c r="P40" s="61">
        <f t="shared" si="3"/>
        <v>2747.0484449999999</v>
      </c>
      <c r="Q40" s="61">
        <f t="shared" si="3"/>
        <v>6299.0236607142861</v>
      </c>
      <c r="R40" s="61">
        <f t="shared" si="3"/>
        <v>4537.1385</v>
      </c>
      <c r="S40" s="61">
        <f t="shared" si="3"/>
        <v>35124.608756250003</v>
      </c>
      <c r="U40" s="69"/>
    </row>
    <row r="41" spans="1:21" s="68" customFormat="1" ht="15" x14ac:dyDescent="0.2">
      <c r="A41" s="555"/>
      <c r="B41" s="556"/>
      <c r="C41" s="557"/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  <c r="O41" s="557"/>
      <c r="P41" s="557"/>
      <c r="Q41" s="557"/>
      <c r="R41" s="557"/>
      <c r="S41" s="557"/>
      <c r="U41" s="69"/>
    </row>
    <row r="42" spans="1:21" s="68" customFormat="1" ht="15" x14ac:dyDescent="0.2">
      <c r="A42" s="66" t="s">
        <v>813</v>
      </c>
      <c r="B42" s="67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>
        <v>144419</v>
      </c>
      <c r="U42" s="69"/>
    </row>
    <row r="44" spans="1:21" x14ac:dyDescent="0.2">
      <c r="A44" s="558" t="s">
        <v>146</v>
      </c>
      <c r="S44" s="323">
        <f>SUM(S36+S38+S40+S42)</f>
        <v>776432.38500625</v>
      </c>
    </row>
  </sheetData>
  <mergeCells count="1">
    <mergeCell ref="A2:S2"/>
  </mergeCells>
  <printOptions horizontalCentered="1" verticalCentered="1" headings="1" gridLines="1"/>
  <pageMargins left="0.17" right="0.17" top="0.17" bottom="0.17" header="0.17" footer="0.17"/>
  <pageSetup scale="5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5BCBF-726F-469D-AA5F-574213C627DB}">
  <sheetPr>
    <pageSetUpPr fitToPage="1"/>
  </sheetPr>
  <dimension ref="A1:R39"/>
  <sheetViews>
    <sheetView zoomScale="90" workbookViewId="0">
      <pane xSplit="3" ySplit="6" topLeftCell="D7" activePane="bottomRight" state="frozen"/>
      <selection activeCell="B17" sqref="B17"/>
      <selection pane="topRight" activeCell="B17" sqref="B17"/>
      <selection pane="bottomLeft" activeCell="B17" sqref="B17"/>
      <selection pane="bottomRight" activeCell="Q25" sqref="Q25"/>
    </sheetView>
  </sheetViews>
  <sheetFormatPr defaultColWidth="9.140625" defaultRowHeight="14.25" x14ac:dyDescent="0.2"/>
  <cols>
    <col min="1" max="1" width="3.28515625" style="119" bestFit="1" customWidth="1"/>
    <col min="2" max="2" width="6.85546875" style="119" customWidth="1"/>
    <col min="3" max="3" width="26.28515625" style="22" bestFit="1" customWidth="1"/>
    <col min="4" max="4" width="12.28515625" style="284" bestFit="1" customWidth="1"/>
    <col min="5" max="5" width="12.28515625" style="120" bestFit="1" customWidth="1"/>
    <col min="6" max="6" width="10.140625" style="120" bestFit="1" customWidth="1"/>
    <col min="7" max="7" width="11.28515625" style="120" bestFit="1" customWidth="1"/>
    <col min="8" max="9" width="10" style="120" bestFit="1" customWidth="1"/>
    <col min="10" max="11" width="10.140625" style="120" bestFit="1" customWidth="1"/>
    <col min="12" max="13" width="10.5703125" style="120" bestFit="1" customWidth="1"/>
    <col min="14" max="14" width="10.5703125" style="121" bestFit="1" customWidth="1"/>
    <col min="15" max="15" width="5.85546875" style="123" bestFit="1" customWidth="1"/>
    <col min="16" max="16" width="11.28515625" style="125" bestFit="1" customWidth="1"/>
    <col min="17" max="17" width="11.7109375" style="124" bestFit="1" customWidth="1"/>
    <col min="18" max="18" width="10.7109375" style="124" customWidth="1"/>
    <col min="19" max="16384" width="9.140625" style="22"/>
  </cols>
  <sheetData>
    <row r="1" spans="1:18" ht="18" customHeight="1" x14ac:dyDescent="0.25">
      <c r="C1" s="158">
        <v>45219</v>
      </c>
      <c r="D1" s="276"/>
      <c r="E1" s="477"/>
      <c r="F1" s="477"/>
    </row>
    <row r="2" spans="1:18" s="24" customFormat="1" ht="37.5" x14ac:dyDescent="0.5">
      <c r="A2" s="151"/>
      <c r="B2" s="126" t="s">
        <v>1369</v>
      </c>
      <c r="C2" s="126"/>
      <c r="D2" s="277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  <c r="P2" s="129"/>
      <c r="Q2" s="128"/>
      <c r="R2" s="128"/>
    </row>
    <row r="3" spans="1:18" ht="18.75" x14ac:dyDescent="0.3">
      <c r="C3" s="483" t="s">
        <v>602</v>
      </c>
      <c r="D3" s="278"/>
      <c r="E3" s="165"/>
      <c r="F3" s="166"/>
      <c r="G3" s="166"/>
      <c r="H3" s="166"/>
      <c r="I3" s="166"/>
      <c r="J3" s="166"/>
      <c r="K3" s="166"/>
      <c r="L3" s="166"/>
      <c r="M3" s="166"/>
      <c r="N3" s="166"/>
      <c r="O3" s="167"/>
      <c r="P3" s="168"/>
    </row>
    <row r="4" spans="1:18" s="30" customFormat="1" x14ac:dyDescent="0.2">
      <c r="D4" s="279"/>
      <c r="E4" s="130" t="s">
        <v>180</v>
      </c>
      <c r="F4" s="130" t="s">
        <v>113</v>
      </c>
      <c r="G4" s="130" t="s">
        <v>181</v>
      </c>
      <c r="H4" s="130" t="s">
        <v>114</v>
      </c>
      <c r="I4" s="130" t="s">
        <v>182</v>
      </c>
      <c r="J4" s="130" t="s">
        <v>115</v>
      </c>
      <c r="K4" s="130" t="s">
        <v>116</v>
      </c>
      <c r="L4" s="130" t="s">
        <v>183</v>
      </c>
      <c r="M4" s="130" t="s">
        <v>436</v>
      </c>
      <c r="N4" s="131"/>
      <c r="O4" s="132"/>
      <c r="P4" s="134"/>
      <c r="Q4" s="133"/>
      <c r="R4" s="133"/>
    </row>
    <row r="5" spans="1:18" s="39" customFormat="1" ht="15.75" thickBot="1" x14ac:dyDescent="0.3">
      <c r="D5" s="280"/>
      <c r="E5" s="135">
        <v>111</v>
      </c>
      <c r="F5" s="135">
        <v>112</v>
      </c>
      <c r="G5" s="135">
        <v>113</v>
      </c>
      <c r="H5" s="135">
        <v>118</v>
      </c>
      <c r="I5" s="135">
        <v>122</v>
      </c>
      <c r="J5" s="135">
        <v>124</v>
      </c>
      <c r="K5" s="135">
        <v>125</v>
      </c>
      <c r="L5" s="135">
        <v>127</v>
      </c>
      <c r="M5" s="135">
        <v>212</v>
      </c>
      <c r="N5" s="136" t="s">
        <v>190</v>
      </c>
      <c r="O5" s="137"/>
      <c r="P5" s="144"/>
      <c r="Q5" s="138"/>
      <c r="R5" s="138"/>
    </row>
    <row r="6" spans="1:18" s="139" customFormat="1" ht="19.5" thickBot="1" x14ac:dyDescent="0.35">
      <c r="A6" s="33"/>
      <c r="B6" s="33"/>
      <c r="C6" s="139" t="s">
        <v>208</v>
      </c>
      <c r="D6" s="281" t="s">
        <v>192</v>
      </c>
      <c r="E6" s="140">
        <v>2130.1010000000001</v>
      </c>
      <c r="F6" s="140">
        <v>2130.1019999999999</v>
      </c>
      <c r="G6" s="140">
        <v>2130.1030000000001</v>
      </c>
      <c r="H6" s="140">
        <v>2130.1109999999999</v>
      </c>
      <c r="I6" s="140">
        <v>2130.1039999999998</v>
      </c>
      <c r="J6" s="140">
        <v>2130.105</v>
      </c>
      <c r="K6" s="140">
        <v>2130.1120000000001</v>
      </c>
      <c r="L6" s="140">
        <v>2130.1060000000002</v>
      </c>
      <c r="M6" s="140">
        <v>2130.107</v>
      </c>
      <c r="N6" s="141" t="s">
        <v>146</v>
      </c>
      <c r="O6" s="142"/>
      <c r="P6" s="164" t="s">
        <v>527</v>
      </c>
      <c r="Q6" s="233" t="s">
        <v>258</v>
      </c>
      <c r="R6" s="143"/>
    </row>
    <row r="7" spans="1:18" ht="12.75" x14ac:dyDescent="0.2">
      <c r="A7" s="119">
        <v>1</v>
      </c>
      <c r="B7" s="682" t="s">
        <v>1370</v>
      </c>
      <c r="C7" s="490" t="s">
        <v>766</v>
      </c>
      <c r="D7" s="686" t="s">
        <v>201</v>
      </c>
      <c r="E7" s="101"/>
      <c r="F7" s="104"/>
      <c r="G7" s="104"/>
      <c r="H7" s="104"/>
      <c r="I7" s="683"/>
      <c r="J7" s="683"/>
      <c r="K7" s="683">
        <f>+N7</f>
        <v>2159.16</v>
      </c>
      <c r="L7" s="104"/>
      <c r="M7" s="104"/>
      <c r="N7" s="684">
        <f>+R16</f>
        <v>2159.16</v>
      </c>
      <c r="O7" s="154">
        <f t="shared" ref="O7:O29" si="0">SUM(E7:M7)-N7</f>
        <v>0</v>
      </c>
      <c r="P7" s="22"/>
      <c r="Q7" s="22"/>
      <c r="R7" s="22"/>
    </row>
    <row r="8" spans="1:18" ht="12.75" x14ac:dyDescent="0.2">
      <c r="A8" s="119">
        <f>+A7+1</f>
        <v>2</v>
      </c>
      <c r="B8" s="682" t="s">
        <v>1371</v>
      </c>
      <c r="C8" s="80" t="s">
        <v>767</v>
      </c>
      <c r="D8" s="100" t="s">
        <v>1373</v>
      </c>
      <c r="E8" s="101"/>
      <c r="F8" s="104"/>
      <c r="G8" s="104"/>
      <c r="H8" s="104"/>
      <c r="I8" s="104"/>
      <c r="J8" s="104"/>
      <c r="K8" s="104"/>
      <c r="L8" s="104"/>
      <c r="M8" s="104"/>
      <c r="N8" s="155"/>
      <c r="O8" s="154">
        <f>SUM(E8:M8)-N8</f>
        <v>0</v>
      </c>
      <c r="P8" s="22"/>
      <c r="Q8" s="22"/>
      <c r="R8" s="22"/>
    </row>
    <row r="9" spans="1:18" ht="12.75" x14ac:dyDescent="0.2">
      <c r="A9" s="119">
        <f t="shared" ref="A9:A28" si="1">+A8+1</f>
        <v>3</v>
      </c>
      <c r="B9" s="682" t="s">
        <v>1371</v>
      </c>
      <c r="C9" s="80" t="s">
        <v>771</v>
      </c>
      <c r="D9" s="100" t="s">
        <v>1373</v>
      </c>
      <c r="E9" s="101"/>
      <c r="F9" s="104"/>
      <c r="G9" s="104"/>
      <c r="H9" s="104"/>
      <c r="I9" s="104"/>
      <c r="J9" s="104"/>
      <c r="K9" s="104">
        <v>0</v>
      </c>
      <c r="L9" s="104"/>
      <c r="M9" s="104"/>
      <c r="N9" s="155">
        <v>0</v>
      </c>
      <c r="O9" s="154">
        <f t="shared" si="0"/>
        <v>0</v>
      </c>
      <c r="P9" s="22"/>
      <c r="Q9" s="22"/>
    </row>
    <row r="10" spans="1:18" ht="15" x14ac:dyDescent="0.35">
      <c r="A10" s="119">
        <f t="shared" si="1"/>
        <v>4</v>
      </c>
      <c r="B10" s="682" t="s">
        <v>209</v>
      </c>
      <c r="C10" s="80" t="s">
        <v>772</v>
      </c>
      <c r="D10" s="100" t="s">
        <v>201</v>
      </c>
      <c r="E10" s="101"/>
      <c r="F10" s="104"/>
      <c r="G10" s="104">
        <f>+N10</f>
        <v>8204.44</v>
      </c>
      <c r="H10" s="104"/>
      <c r="I10" s="104"/>
      <c r="J10" s="104"/>
      <c r="K10" s="104"/>
      <c r="L10" s="104"/>
      <c r="M10" s="104"/>
      <c r="N10" s="155">
        <f>+R13+R18</f>
        <v>8204.44</v>
      </c>
      <c r="O10" s="154">
        <f t="shared" si="0"/>
        <v>0</v>
      </c>
      <c r="P10" s="951" t="s">
        <v>426</v>
      </c>
      <c r="Q10" s="951"/>
      <c r="R10" s="301" t="s">
        <v>527</v>
      </c>
    </row>
    <row r="11" spans="1:18" ht="12.75" x14ac:dyDescent="0.2">
      <c r="A11" s="119">
        <f t="shared" si="1"/>
        <v>5</v>
      </c>
      <c r="B11" s="682" t="s">
        <v>209</v>
      </c>
      <c r="C11" s="80" t="s">
        <v>1349</v>
      </c>
      <c r="D11" s="100" t="s">
        <v>1378</v>
      </c>
      <c r="E11" s="101"/>
      <c r="F11" s="104"/>
      <c r="G11" s="104"/>
      <c r="H11" s="104">
        <f>+N11*75%</f>
        <v>6153.33</v>
      </c>
      <c r="I11" s="104"/>
      <c r="J11" s="104"/>
      <c r="K11" s="104"/>
      <c r="L11" s="104"/>
      <c r="M11" s="104"/>
      <c r="N11" s="155">
        <f>+R13+R18</f>
        <v>8204.44</v>
      </c>
      <c r="O11" s="154">
        <f t="shared" si="0"/>
        <v>-2051.1100000000006</v>
      </c>
      <c r="P11" s="22" t="s">
        <v>212</v>
      </c>
      <c r="Q11" s="334">
        <v>2356.86</v>
      </c>
      <c r="R11" s="333">
        <f>20180.43/2+21007.83/2</f>
        <v>20594.13</v>
      </c>
    </row>
    <row r="12" spans="1:18" ht="12.75" x14ac:dyDescent="0.2">
      <c r="A12" s="119">
        <f t="shared" si="1"/>
        <v>6</v>
      </c>
      <c r="B12" s="652" t="s">
        <v>211</v>
      </c>
      <c r="C12" s="80" t="s">
        <v>773</v>
      </c>
      <c r="D12" s="100" t="s">
        <v>201</v>
      </c>
      <c r="E12" s="101">
        <f>+N12</f>
        <v>22753.29</v>
      </c>
      <c r="F12" s="104"/>
      <c r="G12" s="104"/>
      <c r="H12" s="104"/>
      <c r="I12" s="104"/>
      <c r="J12" s="104"/>
      <c r="K12" s="104"/>
      <c r="L12" s="104"/>
      <c r="M12" s="104"/>
      <c r="N12" s="155">
        <f>+R11+R16</f>
        <v>22753.29</v>
      </c>
      <c r="O12" s="154">
        <f t="shared" si="0"/>
        <v>0</v>
      </c>
      <c r="P12" s="22" t="s">
        <v>213</v>
      </c>
      <c r="Q12" s="334">
        <v>1893.9</v>
      </c>
      <c r="R12" s="333">
        <f>15474.6/2+16109.06/2</f>
        <v>15791.83</v>
      </c>
    </row>
    <row r="13" spans="1:18" ht="12.75" x14ac:dyDescent="0.2">
      <c r="A13" s="119">
        <f t="shared" si="1"/>
        <v>7</v>
      </c>
      <c r="B13" s="682" t="s">
        <v>1370</v>
      </c>
      <c r="C13" s="5" t="s">
        <v>1341</v>
      </c>
      <c r="D13" s="100" t="s">
        <v>779</v>
      </c>
      <c r="E13" s="101"/>
      <c r="F13" s="478">
        <f>+N13*40%</f>
        <v>261.31200000000001</v>
      </c>
      <c r="G13" s="685">
        <f>+N13*60%</f>
        <v>391.96799999999996</v>
      </c>
      <c r="H13" s="349"/>
      <c r="I13" s="104"/>
      <c r="J13" s="104"/>
      <c r="K13" s="104"/>
      <c r="L13" s="104"/>
      <c r="M13" s="104"/>
      <c r="N13" s="155">
        <f>+R18</f>
        <v>653.28</v>
      </c>
      <c r="O13" s="154">
        <f>SUM(E13:M13)-N13</f>
        <v>0</v>
      </c>
      <c r="P13" s="22" t="s">
        <v>214</v>
      </c>
      <c r="Q13" s="334">
        <v>785.24</v>
      </c>
      <c r="R13" s="333">
        <f>7399.47/2+7702.85/2</f>
        <v>7551.16</v>
      </c>
    </row>
    <row r="14" spans="1:18" ht="12.75" x14ac:dyDescent="0.2">
      <c r="A14" s="119">
        <f t="shared" si="1"/>
        <v>8</v>
      </c>
      <c r="B14" s="682" t="s">
        <v>209</v>
      </c>
      <c r="C14" s="80" t="s">
        <v>463</v>
      </c>
      <c r="D14" s="100" t="s">
        <v>201</v>
      </c>
      <c r="E14" s="101"/>
      <c r="F14" s="104"/>
      <c r="G14" s="104">
        <f>+N14</f>
        <v>8204.44</v>
      </c>
      <c r="H14" s="349"/>
      <c r="I14" s="104"/>
      <c r="J14" s="104"/>
      <c r="K14" s="104"/>
      <c r="L14" s="104"/>
      <c r="M14" s="104"/>
      <c r="N14" s="155">
        <f>+R13+R18</f>
        <v>8204.44</v>
      </c>
      <c r="O14" s="154">
        <f t="shared" si="0"/>
        <v>0</v>
      </c>
      <c r="P14" s="22"/>
      <c r="Q14" s="335"/>
      <c r="R14" s="22"/>
    </row>
    <row r="15" spans="1:18" ht="15" x14ac:dyDescent="0.35">
      <c r="A15" s="119">
        <f t="shared" si="1"/>
        <v>9</v>
      </c>
      <c r="B15" s="682" t="s">
        <v>209</v>
      </c>
      <c r="C15" s="80" t="s">
        <v>202</v>
      </c>
      <c r="D15" s="100" t="s">
        <v>1342</v>
      </c>
      <c r="E15" s="101"/>
      <c r="F15" s="104"/>
      <c r="G15" s="104"/>
      <c r="H15" s="349"/>
      <c r="I15" s="102">
        <f>+N15*92%</f>
        <v>7548.0848000000005</v>
      </c>
      <c r="J15" s="102">
        <f>+N15*8%</f>
        <v>656.35520000000008</v>
      </c>
      <c r="K15" s="102"/>
      <c r="L15" s="102"/>
      <c r="M15" s="102"/>
      <c r="N15" s="155">
        <f>(+R13+R18)</f>
        <v>8204.44</v>
      </c>
      <c r="O15" s="154">
        <f t="shared" si="0"/>
        <v>0</v>
      </c>
      <c r="P15" s="336" t="s">
        <v>427</v>
      </c>
      <c r="Q15" s="337"/>
      <c r="R15" s="303" t="s">
        <v>428</v>
      </c>
    </row>
    <row r="16" spans="1:18" ht="12.75" x14ac:dyDescent="0.2">
      <c r="A16" s="119">
        <f t="shared" si="1"/>
        <v>10</v>
      </c>
      <c r="B16" s="682" t="s">
        <v>209</v>
      </c>
      <c r="C16" s="80" t="s">
        <v>1374</v>
      </c>
      <c r="D16" s="100" t="s">
        <v>201</v>
      </c>
      <c r="E16" s="101">
        <f>+N16</f>
        <v>8204.44</v>
      </c>
      <c r="F16" s="104"/>
      <c r="G16" s="104"/>
      <c r="H16" s="349"/>
      <c r="I16" s="102"/>
      <c r="J16" s="102"/>
      <c r="K16" s="102"/>
      <c r="L16" s="102"/>
      <c r="M16" s="102"/>
      <c r="N16" s="155">
        <f>+R13+R18</f>
        <v>8204.44</v>
      </c>
      <c r="O16" s="154">
        <f t="shared" si="0"/>
        <v>0</v>
      </c>
      <c r="P16" s="22" t="s">
        <v>212</v>
      </c>
      <c r="Q16" s="302">
        <v>179.93</v>
      </c>
      <c r="R16" s="333">
        <f>+Q16*12</f>
        <v>2159.16</v>
      </c>
    </row>
    <row r="17" spans="1:18" ht="12.75" x14ac:dyDescent="0.2">
      <c r="A17" s="119">
        <f t="shared" si="1"/>
        <v>11</v>
      </c>
      <c r="B17" s="682" t="s">
        <v>1371</v>
      </c>
      <c r="C17" s="80" t="s">
        <v>203</v>
      </c>
      <c r="D17" s="100" t="s">
        <v>1373</v>
      </c>
      <c r="E17" s="101"/>
      <c r="F17" s="101"/>
      <c r="G17" s="101"/>
      <c r="H17" s="349"/>
      <c r="I17" s="104"/>
      <c r="J17" s="104"/>
      <c r="K17" s="104"/>
      <c r="L17" s="104"/>
      <c r="M17" s="104"/>
      <c r="N17" s="155"/>
      <c r="O17" s="154">
        <f t="shared" si="0"/>
        <v>0</v>
      </c>
      <c r="P17" s="22" t="s">
        <v>213</v>
      </c>
      <c r="Q17" s="302">
        <v>101.54</v>
      </c>
      <c r="R17" s="333">
        <f>+Q17*12</f>
        <v>1218.48</v>
      </c>
    </row>
    <row r="18" spans="1:18" ht="12.75" x14ac:dyDescent="0.2">
      <c r="A18" s="119">
        <f t="shared" si="1"/>
        <v>12</v>
      </c>
      <c r="B18" s="652" t="s">
        <v>211</v>
      </c>
      <c r="C18" s="80" t="s">
        <v>1343</v>
      </c>
      <c r="D18" s="100" t="s">
        <v>1344</v>
      </c>
      <c r="E18" s="101">
        <f>+N18*20%</f>
        <v>4550.6580000000004</v>
      </c>
      <c r="F18" s="104">
        <f>+N18*20%</f>
        <v>4550.6580000000004</v>
      </c>
      <c r="G18" s="104">
        <f>+N18*60%</f>
        <v>13651.974</v>
      </c>
      <c r="H18" s="349"/>
      <c r="I18" s="102"/>
      <c r="J18" s="102"/>
      <c r="K18" s="102"/>
      <c r="L18" s="102"/>
      <c r="M18" s="102"/>
      <c r="N18" s="155">
        <f>+R11+R16</f>
        <v>22753.29</v>
      </c>
      <c r="O18" s="154">
        <f t="shared" si="0"/>
        <v>0</v>
      </c>
      <c r="P18" s="22" t="s">
        <v>214</v>
      </c>
      <c r="Q18" s="302">
        <v>54.44</v>
      </c>
      <c r="R18" s="333">
        <f>+Q18*12</f>
        <v>653.28</v>
      </c>
    </row>
    <row r="19" spans="1:18" ht="12.75" x14ac:dyDescent="0.2">
      <c r="A19" s="119">
        <f t="shared" si="1"/>
        <v>13</v>
      </c>
      <c r="B19" s="682" t="s">
        <v>211</v>
      </c>
      <c r="C19" s="80" t="s">
        <v>774</v>
      </c>
      <c r="D19" s="686">
        <v>1</v>
      </c>
      <c r="E19" s="101">
        <f>+N19</f>
        <v>22753.29</v>
      </c>
      <c r="F19" s="104"/>
      <c r="G19" s="104"/>
      <c r="H19" s="349"/>
      <c r="I19" s="102"/>
      <c r="J19" s="102"/>
      <c r="K19" s="102"/>
      <c r="L19" s="102"/>
      <c r="M19" s="102"/>
      <c r="N19" s="155">
        <f>+R11+R16</f>
        <v>22753.29</v>
      </c>
      <c r="O19" s="154">
        <f t="shared" si="0"/>
        <v>0</v>
      </c>
      <c r="P19" s="22"/>
      <c r="Q19" s="302"/>
      <c r="R19" s="304"/>
    </row>
    <row r="20" spans="1:18" ht="12.75" x14ac:dyDescent="0.2">
      <c r="A20" s="119">
        <f t="shared" si="1"/>
        <v>14</v>
      </c>
      <c r="B20" s="682" t="s">
        <v>211</v>
      </c>
      <c r="C20" s="80" t="s">
        <v>1345</v>
      </c>
      <c r="D20" s="686">
        <v>0.67</v>
      </c>
      <c r="E20" s="101"/>
      <c r="F20" s="104"/>
      <c r="G20" s="104">
        <f>+N20</f>
        <v>22753.29</v>
      </c>
      <c r="H20" s="484"/>
      <c r="I20" s="104"/>
      <c r="J20" s="104"/>
      <c r="K20" s="102"/>
      <c r="L20" s="102"/>
      <c r="M20" s="102"/>
      <c r="N20" s="155">
        <f>+R11+R16</f>
        <v>22753.29</v>
      </c>
      <c r="O20" s="154">
        <f t="shared" si="0"/>
        <v>0</v>
      </c>
      <c r="P20" s="22"/>
      <c r="Q20" s="22"/>
      <c r="R20" s="22"/>
    </row>
    <row r="21" spans="1:18" ht="12.75" x14ac:dyDescent="0.2">
      <c r="A21" s="119">
        <f t="shared" si="1"/>
        <v>15</v>
      </c>
      <c r="B21" s="682" t="s">
        <v>211</v>
      </c>
      <c r="C21" s="80" t="s">
        <v>775</v>
      </c>
      <c r="D21" s="687">
        <v>1</v>
      </c>
      <c r="E21" s="101">
        <f>+N21</f>
        <v>22753.29</v>
      </c>
      <c r="F21" s="104"/>
      <c r="G21" s="104"/>
      <c r="H21" s="484"/>
      <c r="I21" s="104"/>
      <c r="J21" s="104"/>
      <c r="K21" s="104"/>
      <c r="L21" s="104"/>
      <c r="M21" s="104"/>
      <c r="N21" s="155">
        <f>+R11+R16</f>
        <v>22753.29</v>
      </c>
      <c r="O21" s="154">
        <f t="shared" si="0"/>
        <v>0</v>
      </c>
      <c r="P21" s="350" t="s">
        <v>212</v>
      </c>
      <c r="Q21" s="351">
        <f>+Q11+Q16</f>
        <v>2536.79</v>
      </c>
    </row>
    <row r="22" spans="1:18" ht="12.75" x14ac:dyDescent="0.2">
      <c r="A22" s="119">
        <f t="shared" si="1"/>
        <v>16</v>
      </c>
      <c r="B22" s="682" t="s">
        <v>494</v>
      </c>
      <c r="C22" s="80" t="s">
        <v>464</v>
      </c>
      <c r="D22" s="100" t="s">
        <v>785</v>
      </c>
      <c r="E22" s="101"/>
      <c r="F22" s="104">
        <f>+N22*80%</f>
        <v>13608.248000000001</v>
      </c>
      <c r="G22" s="104"/>
      <c r="H22" s="349"/>
      <c r="I22" s="102"/>
      <c r="J22" s="102">
        <f>+N22*20%</f>
        <v>3402.0620000000004</v>
      </c>
      <c r="K22" s="102"/>
      <c r="L22" s="102"/>
      <c r="M22" s="102"/>
      <c r="N22" s="153">
        <f>+R12+R17</f>
        <v>17010.310000000001</v>
      </c>
      <c r="O22" s="154">
        <f t="shared" si="0"/>
        <v>0</v>
      </c>
      <c r="P22" s="352" t="s">
        <v>213</v>
      </c>
      <c r="Q22" s="353">
        <f>+Q12+Q17</f>
        <v>1995.44</v>
      </c>
    </row>
    <row r="23" spans="1:18" ht="12.75" x14ac:dyDescent="0.2">
      <c r="A23" s="119">
        <f t="shared" si="1"/>
        <v>17</v>
      </c>
      <c r="B23" s="682" t="s">
        <v>211</v>
      </c>
      <c r="C23" s="80" t="s">
        <v>1375</v>
      </c>
      <c r="D23" s="686">
        <v>1</v>
      </c>
      <c r="E23" s="101"/>
      <c r="F23" s="104"/>
      <c r="G23" s="104"/>
      <c r="H23" s="349"/>
      <c r="I23" s="102">
        <f>+N23</f>
        <v>22753.29</v>
      </c>
      <c r="J23" s="102"/>
      <c r="K23" s="102"/>
      <c r="L23" s="102"/>
      <c r="M23" s="102"/>
      <c r="N23" s="155">
        <f>+R11+R16</f>
        <v>22753.29</v>
      </c>
      <c r="O23" s="154">
        <f t="shared" si="0"/>
        <v>0</v>
      </c>
      <c r="P23" s="354" t="s">
        <v>214</v>
      </c>
      <c r="Q23" s="355">
        <f>+Q13+Q18</f>
        <v>839.68000000000006</v>
      </c>
    </row>
    <row r="24" spans="1:18" ht="12.75" x14ac:dyDescent="0.2">
      <c r="A24" s="119">
        <f t="shared" si="1"/>
        <v>18</v>
      </c>
      <c r="B24" s="682" t="s">
        <v>494</v>
      </c>
      <c r="C24" s="80" t="s">
        <v>1339</v>
      </c>
      <c r="D24" s="686">
        <v>1</v>
      </c>
      <c r="E24" s="104"/>
      <c r="F24" s="102">
        <f>+N24</f>
        <v>17010.310000000001</v>
      </c>
      <c r="G24" s="104"/>
      <c r="H24" s="349"/>
      <c r="I24" s="102"/>
      <c r="J24" s="102"/>
      <c r="K24" s="102"/>
      <c r="L24" s="102"/>
      <c r="M24" s="102"/>
      <c r="N24" s="155">
        <f>+R12+R17</f>
        <v>17010.310000000001</v>
      </c>
      <c r="O24" s="154">
        <f t="shared" si="0"/>
        <v>0</v>
      </c>
      <c r="P24" s="22"/>
      <c r="Q24" s="22"/>
    </row>
    <row r="25" spans="1:18" ht="12.75" x14ac:dyDescent="0.2">
      <c r="A25" s="119">
        <f>+A26+1</f>
        <v>20</v>
      </c>
      <c r="B25" s="682" t="s">
        <v>211</v>
      </c>
      <c r="C25" s="80" t="s">
        <v>1376</v>
      </c>
      <c r="D25" s="100" t="s">
        <v>1346</v>
      </c>
      <c r="E25" s="101"/>
      <c r="F25" s="104">
        <f>+N25*83%</f>
        <v>18885.2307</v>
      </c>
      <c r="G25" s="104"/>
      <c r="H25" s="349"/>
      <c r="I25" s="104"/>
      <c r="J25" s="104">
        <f>+N25*17%</f>
        <v>3868.0593000000003</v>
      </c>
      <c r="K25" s="104"/>
      <c r="L25" s="104"/>
      <c r="M25" s="104"/>
      <c r="N25" s="155">
        <f>+R11+R16</f>
        <v>22753.29</v>
      </c>
      <c r="O25" s="154">
        <f t="shared" si="0"/>
        <v>0</v>
      </c>
      <c r="P25" s="145" t="s">
        <v>215</v>
      </c>
      <c r="Q25" s="324">
        <v>179.93</v>
      </c>
      <c r="R25" s="124" t="s">
        <v>212</v>
      </c>
    </row>
    <row r="26" spans="1:18" ht="12.75" x14ac:dyDescent="0.2">
      <c r="A26" s="119">
        <f>+A24+1</f>
        <v>19</v>
      </c>
      <c r="B26" s="682" t="s">
        <v>209</v>
      </c>
      <c r="C26" s="80" t="s">
        <v>1377</v>
      </c>
      <c r="D26" s="686">
        <v>1</v>
      </c>
      <c r="E26" s="101"/>
      <c r="F26" s="104"/>
      <c r="G26" s="104">
        <f>+N26</f>
        <v>8204.44</v>
      </c>
      <c r="H26" s="349"/>
      <c r="I26" s="104"/>
      <c r="J26" s="104"/>
      <c r="K26" s="104"/>
      <c r="L26" s="104"/>
      <c r="M26" s="104"/>
      <c r="N26" s="155">
        <f>+R13+R18</f>
        <v>8204.44</v>
      </c>
      <c r="O26" s="154">
        <f>SUM(E26:M26)-N26</f>
        <v>0</v>
      </c>
      <c r="P26" s="145" t="s">
        <v>215</v>
      </c>
      <c r="Q26" s="324">
        <v>101.54</v>
      </c>
      <c r="R26" s="124" t="s">
        <v>494</v>
      </c>
    </row>
    <row r="27" spans="1:18" ht="12.75" x14ac:dyDescent="0.2">
      <c r="A27" s="119">
        <f>+A25+1</f>
        <v>21</v>
      </c>
      <c r="B27" s="682" t="s">
        <v>1370</v>
      </c>
      <c r="C27" s="80" t="s">
        <v>1347</v>
      </c>
      <c r="D27" s="686">
        <v>1</v>
      </c>
      <c r="E27" s="101">
        <f>+N27</f>
        <v>2159.16</v>
      </c>
      <c r="F27" s="104"/>
      <c r="G27" s="104"/>
      <c r="H27" s="349"/>
      <c r="I27" s="104"/>
      <c r="J27" s="104"/>
      <c r="K27" s="104"/>
      <c r="L27" s="104"/>
      <c r="M27" s="104"/>
      <c r="N27" s="155">
        <f>+R16</f>
        <v>2159.16</v>
      </c>
      <c r="O27" s="154">
        <f t="shared" si="0"/>
        <v>0</v>
      </c>
      <c r="P27" s="145" t="s">
        <v>215</v>
      </c>
      <c r="Q27" s="324">
        <v>54.44</v>
      </c>
      <c r="R27" s="124" t="s">
        <v>209</v>
      </c>
    </row>
    <row r="28" spans="1:18" ht="12.75" x14ac:dyDescent="0.2">
      <c r="A28" s="119">
        <f t="shared" si="1"/>
        <v>22</v>
      </c>
      <c r="B28" s="682" t="s">
        <v>211</v>
      </c>
      <c r="C28" s="80" t="s">
        <v>206</v>
      </c>
      <c r="D28" s="686">
        <v>1</v>
      </c>
      <c r="E28" s="101">
        <f>+R11+R16</f>
        <v>22753.29</v>
      </c>
      <c r="F28" s="104"/>
      <c r="G28" s="104"/>
      <c r="H28" s="349"/>
      <c r="I28" s="102"/>
      <c r="J28" s="102"/>
      <c r="K28" s="102"/>
      <c r="L28" s="102"/>
      <c r="M28" s="102"/>
      <c r="N28" s="155">
        <f>+R11+R16</f>
        <v>22753.29</v>
      </c>
      <c r="O28" s="154">
        <f t="shared" si="0"/>
        <v>0</v>
      </c>
      <c r="P28" s="146"/>
    </row>
    <row r="29" spans="1:18" ht="12.75" x14ac:dyDescent="0.2">
      <c r="A29" s="119">
        <f>+A28+1</f>
        <v>23</v>
      </c>
      <c r="B29" s="682" t="s">
        <v>211</v>
      </c>
      <c r="C29" s="80" t="s">
        <v>571</v>
      </c>
      <c r="D29" s="686">
        <v>1</v>
      </c>
      <c r="E29" s="101"/>
      <c r="F29" s="104"/>
      <c r="G29" s="104"/>
      <c r="H29" s="349"/>
      <c r="I29" s="22"/>
      <c r="J29" s="102"/>
      <c r="K29" s="102"/>
      <c r="L29" s="102">
        <f>+N29</f>
        <v>22753.29</v>
      </c>
      <c r="M29" s="102"/>
      <c r="N29" s="155">
        <f>+R11+R16</f>
        <v>22753.29</v>
      </c>
      <c r="O29" s="154">
        <f t="shared" si="0"/>
        <v>0</v>
      </c>
      <c r="P29" s="146"/>
    </row>
    <row r="30" spans="1:18" ht="12.75" x14ac:dyDescent="0.2">
      <c r="A30" s="119">
        <v>24</v>
      </c>
      <c r="B30" s="682" t="s">
        <v>1371</v>
      </c>
      <c r="C30" s="80" t="s">
        <v>1372</v>
      </c>
      <c r="D30" s="686">
        <v>0</v>
      </c>
      <c r="E30" s="101"/>
      <c r="F30" s="104"/>
      <c r="G30" s="104"/>
      <c r="H30" s="349"/>
      <c r="I30" s="22"/>
      <c r="J30" s="102"/>
      <c r="K30" s="102"/>
      <c r="L30" s="102"/>
      <c r="M30" s="102"/>
      <c r="N30" s="155">
        <v>0</v>
      </c>
      <c r="O30" s="154"/>
      <c r="P30" s="146"/>
    </row>
    <row r="31" spans="1:18" x14ac:dyDescent="0.2">
      <c r="B31" s="652"/>
      <c r="C31" s="160"/>
      <c r="D31" s="282"/>
      <c r="E31" s="101"/>
      <c r="F31" s="104"/>
      <c r="G31" s="104"/>
      <c r="H31" s="349"/>
      <c r="I31" s="104"/>
      <c r="J31" s="104"/>
      <c r="K31" s="104"/>
      <c r="L31" s="104"/>
      <c r="M31" s="104"/>
      <c r="N31" s="155"/>
      <c r="O31" s="154"/>
      <c r="P31" s="146"/>
    </row>
    <row r="32" spans="1:18" s="57" customFormat="1" ht="12.75" x14ac:dyDescent="0.2">
      <c r="A32" s="147"/>
      <c r="B32" s="147"/>
      <c r="C32" s="54" t="s">
        <v>207</v>
      </c>
      <c r="D32" s="54"/>
      <c r="E32" s="156">
        <f t="shared" ref="E32:N32" si="2">SUM(E7:E29)</f>
        <v>105927.41800000001</v>
      </c>
      <c r="F32" s="156">
        <f t="shared" si="2"/>
        <v>54315.758700000006</v>
      </c>
      <c r="G32" s="156">
        <f t="shared" si="2"/>
        <v>61410.552000000003</v>
      </c>
      <c r="H32" s="156">
        <f t="shared" si="2"/>
        <v>6153.33</v>
      </c>
      <c r="I32" s="156">
        <f t="shared" si="2"/>
        <v>30301.374800000001</v>
      </c>
      <c r="J32" s="156">
        <f t="shared" si="2"/>
        <v>7926.4765000000007</v>
      </c>
      <c r="K32" s="156">
        <f t="shared" si="2"/>
        <v>2159.16</v>
      </c>
      <c r="L32" s="156">
        <f t="shared" si="2"/>
        <v>22753.29</v>
      </c>
      <c r="M32" s="156">
        <f t="shared" si="2"/>
        <v>0</v>
      </c>
      <c r="N32" s="156">
        <f t="shared" si="2"/>
        <v>292998.47000000003</v>
      </c>
      <c r="O32" s="157"/>
      <c r="P32" s="149"/>
      <c r="Q32" s="148"/>
      <c r="R32" s="148"/>
    </row>
    <row r="33" spans="1:18" s="52" customFormat="1" ht="16.5" x14ac:dyDescent="0.35">
      <c r="A33" s="39"/>
      <c r="B33" s="39"/>
      <c r="C33" s="150"/>
      <c r="D33" s="28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2"/>
      <c r="Q33" s="952"/>
      <c r="R33" s="145"/>
    </row>
    <row r="34" spans="1:18" s="52" customFormat="1" ht="16.5" x14ac:dyDescent="0.35">
      <c r="A34" s="39"/>
      <c r="B34" s="39"/>
      <c r="C34" s="150"/>
      <c r="D34" s="283"/>
      <c r="E34" s="4"/>
      <c r="F34" s="4"/>
      <c r="G34" s="4"/>
      <c r="H34" s="4"/>
      <c r="I34" s="4"/>
      <c r="J34" s="4"/>
      <c r="K34" s="4"/>
      <c r="L34" s="437"/>
      <c r="M34" s="437"/>
      <c r="N34" s="6"/>
      <c r="O34" s="4"/>
      <c r="P34" s="650"/>
      <c r="Q34" s="650"/>
      <c r="R34" s="145"/>
    </row>
    <row r="35" spans="1:18" x14ac:dyDescent="0.2">
      <c r="L35" s="437"/>
      <c r="M35" s="437"/>
      <c r="N35" s="6"/>
    </row>
    <row r="36" spans="1:18" x14ac:dyDescent="0.2">
      <c r="L36" s="437"/>
      <c r="M36" s="437"/>
      <c r="N36" s="6"/>
    </row>
    <row r="37" spans="1:18" x14ac:dyDescent="0.2">
      <c r="L37" s="438"/>
      <c r="M37" s="438"/>
      <c r="N37" s="439"/>
    </row>
    <row r="38" spans="1:18" x14ac:dyDescent="0.2">
      <c r="N38" s="439"/>
    </row>
    <row r="39" spans="1:18" x14ac:dyDescent="0.2">
      <c r="N39" s="440"/>
    </row>
  </sheetData>
  <mergeCells count="2">
    <mergeCell ref="P10:Q10"/>
    <mergeCell ref="P33:Q33"/>
  </mergeCells>
  <printOptions horizontalCentered="1" verticalCentered="1" headings="1" gridLines="1"/>
  <pageMargins left="0.17" right="0.17" top="0.17" bottom="0.17" header="0.17" footer="0.17"/>
  <pageSetup scale="70" orientation="landscape" horizontalDpi="1200" r:id="rId1"/>
  <headerFooter alignWithMargins="0">
    <oddHeader>&amp;R&amp;D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>
    <pageSetUpPr fitToPage="1"/>
  </sheetPr>
  <dimension ref="A1:R40"/>
  <sheetViews>
    <sheetView zoomScale="90" workbookViewId="0">
      <pane xSplit="3" ySplit="6" topLeftCell="D7" activePane="bottomRight" state="frozen"/>
      <selection activeCell="B17" sqref="B17"/>
      <selection pane="topRight" activeCell="B17" sqref="B17"/>
      <selection pane="bottomLeft" activeCell="B17" sqref="B17"/>
      <selection pane="bottomRight" activeCell="C2" sqref="C2"/>
    </sheetView>
  </sheetViews>
  <sheetFormatPr defaultColWidth="9.140625" defaultRowHeight="14.25" x14ac:dyDescent="0.2"/>
  <cols>
    <col min="1" max="1" width="3.28515625" style="119" bestFit="1" customWidth="1"/>
    <col min="2" max="2" width="6.85546875" style="119" customWidth="1"/>
    <col min="3" max="3" width="26.28515625" style="22" bestFit="1" customWidth="1"/>
    <col min="4" max="4" width="12.28515625" style="284" bestFit="1" customWidth="1"/>
    <col min="5" max="5" width="12.28515625" style="120" bestFit="1" customWidth="1"/>
    <col min="6" max="6" width="10.140625" style="120" bestFit="1" customWidth="1"/>
    <col min="7" max="7" width="11.28515625" style="120" bestFit="1" customWidth="1"/>
    <col min="8" max="9" width="10" style="120" bestFit="1" customWidth="1"/>
    <col min="10" max="11" width="10.140625" style="120" bestFit="1" customWidth="1"/>
    <col min="12" max="13" width="10.5703125" style="120" bestFit="1" customWidth="1"/>
    <col min="14" max="14" width="10.5703125" style="121" bestFit="1" customWidth="1"/>
    <col min="15" max="15" width="5.85546875" style="123" bestFit="1" customWidth="1"/>
    <col min="16" max="16" width="11.28515625" style="125" bestFit="1" customWidth="1"/>
    <col min="17" max="17" width="11.7109375" style="124" bestFit="1" customWidth="1"/>
    <col min="18" max="18" width="10.7109375" style="124" customWidth="1"/>
    <col min="19" max="16384" width="9.140625" style="22"/>
  </cols>
  <sheetData>
    <row r="1" spans="1:18" ht="18" customHeight="1" x14ac:dyDescent="0.25">
      <c r="C1" s="158">
        <v>43510</v>
      </c>
      <c r="D1" s="276"/>
      <c r="E1" s="477"/>
      <c r="F1" s="477"/>
    </row>
    <row r="2" spans="1:18" s="24" customFormat="1" ht="37.5" x14ac:dyDescent="0.5">
      <c r="A2" s="151"/>
      <c r="B2" s="126" t="s">
        <v>617</v>
      </c>
      <c r="C2" s="126"/>
      <c r="D2" s="277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  <c r="P2" s="129"/>
      <c r="Q2" s="128"/>
      <c r="R2" s="128"/>
    </row>
    <row r="3" spans="1:18" ht="18.75" x14ac:dyDescent="0.3">
      <c r="C3" s="483" t="s">
        <v>602</v>
      </c>
      <c r="D3" s="278"/>
      <c r="E3" s="165"/>
      <c r="F3" s="166"/>
      <c r="G3" s="166"/>
      <c r="H3" s="166"/>
      <c r="I3" s="166"/>
      <c r="J3" s="166"/>
      <c r="K3" s="166"/>
      <c r="L3" s="166"/>
      <c r="M3" s="166"/>
      <c r="N3" s="166"/>
      <c r="O3" s="167"/>
      <c r="P3" s="168"/>
    </row>
    <row r="4" spans="1:18" s="30" customFormat="1" x14ac:dyDescent="0.2">
      <c r="D4" s="279"/>
      <c r="E4" s="130" t="s">
        <v>180</v>
      </c>
      <c r="F4" s="130" t="s">
        <v>113</v>
      </c>
      <c r="G4" s="130" t="s">
        <v>181</v>
      </c>
      <c r="H4" s="130" t="s">
        <v>114</v>
      </c>
      <c r="I4" s="130" t="s">
        <v>182</v>
      </c>
      <c r="J4" s="130" t="s">
        <v>115</v>
      </c>
      <c r="K4" s="130" t="s">
        <v>116</v>
      </c>
      <c r="L4" s="130" t="s">
        <v>183</v>
      </c>
      <c r="M4" s="130" t="s">
        <v>436</v>
      </c>
      <c r="N4" s="131"/>
      <c r="O4" s="132"/>
      <c r="P4" s="134"/>
      <c r="Q4" s="133"/>
      <c r="R4" s="133"/>
    </row>
    <row r="5" spans="1:18" s="39" customFormat="1" ht="15.75" thickBot="1" x14ac:dyDescent="0.3">
      <c r="D5" s="280"/>
      <c r="E5" s="135">
        <v>111</v>
      </c>
      <c r="F5" s="135">
        <v>112</v>
      </c>
      <c r="G5" s="135">
        <v>113</v>
      </c>
      <c r="H5" s="135">
        <v>118</v>
      </c>
      <c r="I5" s="135">
        <v>122</v>
      </c>
      <c r="J5" s="135">
        <v>124</v>
      </c>
      <c r="K5" s="135">
        <v>125</v>
      </c>
      <c r="L5" s="135"/>
      <c r="M5" s="135">
        <v>212</v>
      </c>
      <c r="N5" s="136" t="s">
        <v>190</v>
      </c>
      <c r="O5" s="137"/>
      <c r="P5" s="144"/>
      <c r="Q5" s="138"/>
      <c r="R5" s="138"/>
    </row>
    <row r="6" spans="1:18" s="139" customFormat="1" ht="19.5" thickBot="1" x14ac:dyDescent="0.35">
      <c r="A6" s="33"/>
      <c r="B6" s="33"/>
      <c r="C6" s="139" t="s">
        <v>208</v>
      </c>
      <c r="D6" s="281" t="s">
        <v>192</v>
      </c>
      <c r="E6" s="140">
        <v>10146</v>
      </c>
      <c r="F6" s="140">
        <v>10224</v>
      </c>
      <c r="G6" s="140">
        <v>10286</v>
      </c>
      <c r="H6" s="140">
        <v>10380</v>
      </c>
      <c r="I6" s="140">
        <v>10466</v>
      </c>
      <c r="J6" s="140">
        <v>10428</v>
      </c>
      <c r="K6" s="140">
        <v>10500</v>
      </c>
      <c r="L6" s="140">
        <v>10538</v>
      </c>
      <c r="M6" s="140">
        <v>10580</v>
      </c>
      <c r="N6" s="141" t="s">
        <v>146</v>
      </c>
      <c r="O6" s="142"/>
      <c r="P6" s="164" t="s">
        <v>527</v>
      </c>
      <c r="Q6" s="233" t="s">
        <v>258</v>
      </c>
      <c r="R6" s="143"/>
    </row>
    <row r="7" spans="1:18" ht="12.75" x14ac:dyDescent="0.2">
      <c r="A7" s="119">
        <v>1</v>
      </c>
      <c r="B7" s="10" t="s">
        <v>211</v>
      </c>
      <c r="C7" s="490" t="s">
        <v>537</v>
      </c>
      <c r="D7" s="100" t="s">
        <v>564</v>
      </c>
      <c r="E7" s="101"/>
      <c r="F7" s="104">
        <f>+N7*42%</f>
        <v>2079.8499749999996</v>
      </c>
      <c r="G7" s="104">
        <f>+N7*58%</f>
        <v>2872.1737749999993</v>
      </c>
      <c r="H7" s="104"/>
      <c r="I7" s="496" t="s">
        <v>639</v>
      </c>
      <c r="J7" s="496"/>
      <c r="K7" s="496"/>
      <c r="L7" s="104"/>
      <c r="M7" s="104"/>
      <c r="N7" s="495">
        <f>+(R11+R16)/12*3</f>
        <v>4952.0237499999994</v>
      </c>
      <c r="O7" s="154">
        <f t="shared" ref="O7:O31" si="0">SUM(E7:M7)-N7</f>
        <v>0</v>
      </c>
      <c r="P7" s="22"/>
      <c r="Q7" s="22"/>
      <c r="R7" s="22"/>
    </row>
    <row r="8" spans="1:18" ht="12.75" x14ac:dyDescent="0.2">
      <c r="A8" s="119">
        <f>+A7+1</f>
        <v>2</v>
      </c>
      <c r="B8" s="10" t="s">
        <v>209</v>
      </c>
      <c r="C8" s="80" t="s">
        <v>477</v>
      </c>
      <c r="D8" s="100" t="s">
        <v>564</v>
      </c>
      <c r="E8" s="101"/>
      <c r="F8" s="104">
        <f>+N8*42%</f>
        <v>2990.4020999999998</v>
      </c>
      <c r="G8" s="104">
        <f>+N8*58%</f>
        <v>4129.6028999999999</v>
      </c>
      <c r="H8" s="104"/>
      <c r="I8" s="104"/>
      <c r="J8" s="104"/>
      <c r="K8" s="104"/>
      <c r="L8" s="104"/>
      <c r="M8" s="104"/>
      <c r="N8" s="155">
        <f>+R13+R18</f>
        <v>7120.0050000000001</v>
      </c>
      <c r="O8" s="154">
        <f>SUM(E8:M8)-N8</f>
        <v>0</v>
      </c>
      <c r="P8" s="22"/>
      <c r="Q8" s="22"/>
      <c r="R8" s="22"/>
    </row>
    <row r="9" spans="1:18" ht="12.75" x14ac:dyDescent="0.2">
      <c r="A9" s="119">
        <f t="shared" ref="A9:A31" si="1">+A8+1</f>
        <v>3</v>
      </c>
      <c r="B9" s="10" t="s">
        <v>597</v>
      </c>
      <c r="C9" s="80" t="s">
        <v>462</v>
      </c>
      <c r="D9" s="100" t="s">
        <v>201</v>
      </c>
      <c r="E9" s="101"/>
      <c r="F9" s="104"/>
      <c r="G9" s="104"/>
      <c r="H9" s="104"/>
      <c r="I9" s="104"/>
      <c r="J9" s="104"/>
      <c r="K9" s="104">
        <f>+N9</f>
        <v>8177.3458333333338</v>
      </c>
      <c r="L9" s="104"/>
      <c r="M9" s="104"/>
      <c r="N9" s="155">
        <f>(+R11+R16)/12*1+(R13+R18)/12*11</f>
        <v>8177.3458333333338</v>
      </c>
      <c r="O9" s="154">
        <f t="shared" si="0"/>
        <v>0</v>
      </c>
      <c r="P9" s="22"/>
      <c r="Q9" s="22"/>
    </row>
    <row r="10" spans="1:18" ht="15" x14ac:dyDescent="0.35">
      <c r="A10" s="119">
        <f t="shared" si="1"/>
        <v>4</v>
      </c>
      <c r="B10" s="10" t="s">
        <v>211</v>
      </c>
      <c r="C10" s="80" t="s">
        <v>478</v>
      </c>
      <c r="D10" s="100" t="s">
        <v>201</v>
      </c>
      <c r="E10" s="101">
        <f>+N10</f>
        <v>19808.094999999998</v>
      </c>
      <c r="F10" s="104"/>
      <c r="G10" s="104"/>
      <c r="H10" s="104"/>
      <c r="I10" s="104"/>
      <c r="J10" s="104"/>
      <c r="K10" s="104"/>
      <c r="L10" s="104"/>
      <c r="M10" s="104"/>
      <c r="N10" s="155">
        <f>+R11+R16</f>
        <v>19808.094999999998</v>
      </c>
      <c r="O10" s="154">
        <f t="shared" si="0"/>
        <v>0</v>
      </c>
      <c r="P10" s="951" t="s">
        <v>426</v>
      </c>
      <c r="Q10" s="951"/>
      <c r="R10" s="301" t="s">
        <v>527</v>
      </c>
    </row>
    <row r="11" spans="1:18" ht="12.75" x14ac:dyDescent="0.2">
      <c r="A11" s="119">
        <f t="shared" si="1"/>
        <v>5</v>
      </c>
      <c r="B11" s="10" t="s">
        <v>211</v>
      </c>
      <c r="C11" s="80" t="s">
        <v>386</v>
      </c>
      <c r="D11" s="100" t="s">
        <v>565</v>
      </c>
      <c r="E11" s="101">
        <f>+N11*25%</f>
        <v>4952.0237499999994</v>
      </c>
      <c r="F11" s="104"/>
      <c r="G11" s="104">
        <f>+N11*75%</f>
        <v>14856.071249999997</v>
      </c>
      <c r="H11" s="104"/>
      <c r="I11" s="104"/>
      <c r="J11" s="104"/>
      <c r="K11" s="104"/>
      <c r="L11" s="104"/>
      <c r="M11" s="104"/>
      <c r="N11" s="155">
        <f>+R11+R16</f>
        <v>19808.094999999998</v>
      </c>
      <c r="O11" s="154">
        <f t="shared" si="0"/>
        <v>0</v>
      </c>
      <c r="P11" s="22" t="s">
        <v>212</v>
      </c>
      <c r="Q11" s="334">
        <v>2161.5300000000002</v>
      </c>
      <c r="R11" s="333">
        <f>18232.31/2+17892.36/2</f>
        <v>18062.334999999999</v>
      </c>
    </row>
    <row r="12" spans="1:18" ht="12.75" x14ac:dyDescent="0.2">
      <c r="A12" s="119">
        <f t="shared" si="1"/>
        <v>6</v>
      </c>
      <c r="B12" s="10" t="s">
        <v>211</v>
      </c>
      <c r="C12" s="80" t="s">
        <v>200</v>
      </c>
      <c r="D12" s="100" t="s">
        <v>201</v>
      </c>
      <c r="E12" s="101">
        <f>+N12</f>
        <v>19808.094999999998</v>
      </c>
      <c r="F12" s="104"/>
      <c r="G12" s="104"/>
      <c r="H12" s="104"/>
      <c r="I12" s="104"/>
      <c r="J12" s="104"/>
      <c r="K12" s="104"/>
      <c r="L12" s="104"/>
      <c r="M12" s="104"/>
      <c r="N12" s="155">
        <f>+R11+R16</f>
        <v>19808.094999999998</v>
      </c>
      <c r="O12" s="154">
        <f t="shared" si="0"/>
        <v>0</v>
      </c>
      <c r="P12" s="22" t="s">
        <v>213</v>
      </c>
      <c r="Q12" s="334">
        <v>1737.24</v>
      </c>
      <c r="R12" s="333">
        <f>13980.75/2+13720.07/2</f>
        <v>13850.41</v>
      </c>
    </row>
    <row r="13" spans="1:18" ht="12.75" x14ac:dyDescent="0.2">
      <c r="A13" s="119">
        <f t="shared" si="1"/>
        <v>7</v>
      </c>
      <c r="B13" s="10" t="s">
        <v>211</v>
      </c>
      <c r="C13" s="5" t="s">
        <v>548</v>
      </c>
      <c r="D13" s="100" t="s">
        <v>201</v>
      </c>
      <c r="E13" s="101">
        <f>+N13</f>
        <v>19808.094999999998</v>
      </c>
      <c r="F13" s="478"/>
      <c r="G13" s="22"/>
      <c r="H13" s="349"/>
      <c r="I13" s="104"/>
      <c r="J13" s="104"/>
      <c r="K13" s="104"/>
      <c r="L13" s="104"/>
      <c r="M13" s="104"/>
      <c r="N13" s="155">
        <f>(+R11+R16)</f>
        <v>19808.094999999998</v>
      </c>
      <c r="O13" s="154">
        <f>SUM(E13:M13)-N13</f>
        <v>0</v>
      </c>
      <c r="P13" s="22" t="s">
        <v>214</v>
      </c>
      <c r="Q13" s="334">
        <v>2161.5300000000002</v>
      </c>
      <c r="R13" s="333">
        <f>6685.17/2+6560.52/2</f>
        <v>6622.8450000000003</v>
      </c>
    </row>
    <row r="14" spans="1:18" ht="12.75" x14ac:dyDescent="0.2">
      <c r="A14" s="119">
        <f t="shared" si="1"/>
        <v>8</v>
      </c>
      <c r="B14" s="10" t="s">
        <v>210</v>
      </c>
      <c r="C14" s="80" t="s">
        <v>481</v>
      </c>
      <c r="D14" s="100" t="s">
        <v>201</v>
      </c>
      <c r="E14" s="101">
        <f>+N14</f>
        <v>14815.81</v>
      </c>
      <c r="F14" s="104"/>
      <c r="G14" s="104"/>
      <c r="H14" s="349"/>
      <c r="I14" s="104"/>
      <c r="J14" s="104"/>
      <c r="K14" s="104"/>
      <c r="L14" s="104"/>
      <c r="M14" s="104"/>
      <c r="N14" s="155">
        <f>+R12+R17</f>
        <v>14815.81</v>
      </c>
      <c r="O14" s="154">
        <f t="shared" si="0"/>
        <v>0</v>
      </c>
      <c r="P14" s="22"/>
      <c r="Q14" s="335"/>
      <c r="R14" s="22"/>
    </row>
    <row r="15" spans="1:18" ht="15" x14ac:dyDescent="0.35">
      <c r="A15" s="119">
        <f t="shared" si="1"/>
        <v>9</v>
      </c>
      <c r="B15" s="10" t="s">
        <v>209</v>
      </c>
      <c r="C15" s="80" t="s">
        <v>463</v>
      </c>
      <c r="D15" s="100" t="s">
        <v>201</v>
      </c>
      <c r="E15" s="101"/>
      <c r="F15" s="104"/>
      <c r="G15" s="104">
        <f>+N15</f>
        <v>7120.0050000000001</v>
      </c>
      <c r="H15" s="349"/>
      <c r="I15" s="102"/>
      <c r="J15" s="102"/>
      <c r="K15" s="102"/>
      <c r="L15" s="102"/>
      <c r="M15" s="102"/>
      <c r="N15" s="155">
        <f>(+R13+R18)</f>
        <v>7120.0050000000001</v>
      </c>
      <c r="O15" s="154">
        <f t="shared" si="0"/>
        <v>0</v>
      </c>
      <c r="P15" s="336" t="s">
        <v>427</v>
      </c>
      <c r="Q15" s="337"/>
      <c r="R15" s="303" t="s">
        <v>428</v>
      </c>
    </row>
    <row r="16" spans="1:18" ht="12.75" x14ac:dyDescent="0.2">
      <c r="A16" s="119">
        <f t="shared" si="1"/>
        <v>10</v>
      </c>
      <c r="B16" s="10" t="s">
        <v>209</v>
      </c>
      <c r="C16" s="80" t="s">
        <v>202</v>
      </c>
      <c r="D16" s="100" t="s">
        <v>201</v>
      </c>
      <c r="E16" s="101"/>
      <c r="F16" s="104"/>
      <c r="G16" s="104"/>
      <c r="H16" s="349"/>
      <c r="I16" s="102">
        <f>+N16</f>
        <v>7120.0050000000001</v>
      </c>
      <c r="J16" s="102"/>
      <c r="K16" s="102"/>
      <c r="L16" s="102"/>
      <c r="M16" s="102"/>
      <c r="N16" s="155">
        <f>+R13+R18</f>
        <v>7120.0050000000001</v>
      </c>
      <c r="O16" s="154">
        <f t="shared" si="0"/>
        <v>0</v>
      </c>
      <c r="P16" s="22" t="s">
        <v>212</v>
      </c>
      <c r="Q16" s="302">
        <f>108.13+34.65+2.25+0.45</f>
        <v>145.47999999999999</v>
      </c>
      <c r="R16" s="333">
        <f>+Q16*12</f>
        <v>1745.7599999999998</v>
      </c>
    </row>
    <row r="17" spans="1:18" ht="12.75" x14ac:dyDescent="0.2">
      <c r="A17" s="119">
        <f t="shared" si="1"/>
        <v>11</v>
      </c>
      <c r="B17" s="10" t="s">
        <v>209</v>
      </c>
      <c r="C17" s="80" t="s">
        <v>387</v>
      </c>
      <c r="D17" s="100" t="s">
        <v>201</v>
      </c>
      <c r="E17" s="101">
        <f>+N17</f>
        <v>7120.0050000000001</v>
      </c>
      <c r="F17" s="101"/>
      <c r="G17" s="101"/>
      <c r="H17" s="349"/>
      <c r="I17" s="104"/>
      <c r="J17" s="104"/>
      <c r="K17" s="104"/>
      <c r="L17" s="104"/>
      <c r="M17" s="104"/>
      <c r="N17" s="155">
        <f>+R13+R18</f>
        <v>7120.0050000000001</v>
      </c>
      <c r="O17" s="154">
        <f t="shared" si="0"/>
        <v>0</v>
      </c>
      <c r="P17" s="22" t="s">
        <v>213</v>
      </c>
      <c r="Q17" s="302">
        <f>54.74+23.01+2.25+0.45</f>
        <v>80.45</v>
      </c>
      <c r="R17" s="333">
        <f>+Q17*12</f>
        <v>965.40000000000009</v>
      </c>
    </row>
    <row r="18" spans="1:18" ht="12.75" x14ac:dyDescent="0.2">
      <c r="A18" s="119">
        <f t="shared" si="1"/>
        <v>12</v>
      </c>
      <c r="B18" s="10" t="s">
        <v>211</v>
      </c>
      <c r="C18" s="80" t="s">
        <v>538</v>
      </c>
      <c r="D18" s="100" t="s">
        <v>201</v>
      </c>
      <c r="E18" s="101"/>
      <c r="F18" s="104"/>
      <c r="G18" s="104">
        <f>+N18</f>
        <v>19808.094999999998</v>
      </c>
      <c r="H18" s="349"/>
      <c r="I18" s="102"/>
      <c r="J18" s="102"/>
      <c r="K18" s="102"/>
      <c r="L18" s="102"/>
      <c r="M18" s="102"/>
      <c r="N18" s="155">
        <f>+R11+R16</f>
        <v>19808.094999999998</v>
      </c>
      <c r="O18" s="154">
        <f t="shared" si="0"/>
        <v>0</v>
      </c>
      <c r="P18" s="22" t="s">
        <v>214</v>
      </c>
      <c r="Q18" s="302">
        <f>28.02+10.71+2.25+0.45</f>
        <v>41.430000000000007</v>
      </c>
      <c r="R18" s="333">
        <f>+Q18*12</f>
        <v>497.16000000000008</v>
      </c>
    </row>
    <row r="19" spans="1:18" ht="12.75" x14ac:dyDescent="0.2">
      <c r="A19" s="119">
        <f t="shared" si="1"/>
        <v>13</v>
      </c>
      <c r="B19" s="10" t="s">
        <v>211</v>
      </c>
      <c r="C19" s="80" t="s">
        <v>203</v>
      </c>
      <c r="D19" s="100" t="s">
        <v>201</v>
      </c>
      <c r="E19" s="101">
        <f>+N19</f>
        <v>19808.094999999998</v>
      </c>
      <c r="F19" s="104"/>
      <c r="G19" s="104"/>
      <c r="H19" s="349"/>
      <c r="I19" s="102"/>
      <c r="J19" s="102"/>
      <c r="K19" s="102"/>
      <c r="L19" s="102"/>
      <c r="M19" s="102"/>
      <c r="N19" s="155">
        <f>+R11+R16</f>
        <v>19808.094999999998</v>
      </c>
      <c r="O19" s="154">
        <f t="shared" si="0"/>
        <v>0</v>
      </c>
      <c r="P19" s="22"/>
      <c r="Q19" s="302"/>
      <c r="R19" s="304"/>
    </row>
    <row r="20" spans="1:18" ht="12.75" x14ac:dyDescent="0.2">
      <c r="A20" s="119">
        <f t="shared" si="1"/>
        <v>14</v>
      </c>
      <c r="B20" s="10" t="s">
        <v>209</v>
      </c>
      <c r="C20" s="80" t="s">
        <v>566</v>
      </c>
      <c r="D20" s="100" t="s">
        <v>201</v>
      </c>
      <c r="E20" s="101">
        <f>+N20</f>
        <v>7120.0050000000001</v>
      </c>
      <c r="F20" s="104"/>
      <c r="G20" s="104"/>
      <c r="H20" s="484"/>
      <c r="I20" s="104"/>
      <c r="J20" s="104"/>
      <c r="K20" s="102"/>
      <c r="L20" s="102"/>
      <c r="M20" s="102"/>
      <c r="N20" s="155">
        <f>(+R13+R18)</f>
        <v>7120.0050000000001</v>
      </c>
      <c r="O20" s="154">
        <f t="shared" si="0"/>
        <v>0</v>
      </c>
      <c r="P20" s="22"/>
      <c r="Q20" s="22"/>
      <c r="R20" s="22"/>
    </row>
    <row r="21" spans="1:18" ht="12.75" x14ac:dyDescent="0.2">
      <c r="A21" s="119">
        <f t="shared" si="1"/>
        <v>15</v>
      </c>
      <c r="B21" s="10" t="s">
        <v>210</v>
      </c>
      <c r="C21" s="80" t="s">
        <v>464</v>
      </c>
      <c r="D21" s="470" t="s">
        <v>565</v>
      </c>
      <c r="E21" s="101">
        <f>+N21*25%</f>
        <v>3703.9524999999999</v>
      </c>
      <c r="F21" s="104">
        <f>+N21*75%</f>
        <v>11111.8575</v>
      </c>
      <c r="G21" s="104"/>
      <c r="H21" s="484"/>
      <c r="I21" s="104"/>
      <c r="J21" s="104"/>
      <c r="K21" s="104"/>
      <c r="L21" s="104"/>
      <c r="M21" s="104"/>
      <c r="N21" s="155">
        <f>(+R12+R17)</f>
        <v>14815.81</v>
      </c>
      <c r="O21" s="154">
        <f t="shared" si="0"/>
        <v>0</v>
      </c>
      <c r="P21" s="350" t="s">
        <v>212</v>
      </c>
      <c r="Q21" s="351">
        <f>+Q11+Q16</f>
        <v>2307.0100000000002</v>
      </c>
    </row>
    <row r="22" spans="1:18" ht="12.75" x14ac:dyDescent="0.2">
      <c r="A22" s="119">
        <f t="shared" si="1"/>
        <v>16</v>
      </c>
      <c r="B22" s="10" t="s">
        <v>209</v>
      </c>
      <c r="C22" s="80" t="s">
        <v>487</v>
      </c>
      <c r="D22" s="100" t="s">
        <v>567</v>
      </c>
      <c r="E22" s="101">
        <f>+N22*17%</f>
        <v>1210.4008500000002</v>
      </c>
      <c r="F22" s="104">
        <f>+N22*41%</f>
        <v>2919.2020499999999</v>
      </c>
      <c r="G22" s="104">
        <f>+N22*42%</f>
        <v>2990.4020999999998</v>
      </c>
      <c r="H22" s="349"/>
      <c r="I22" s="102"/>
      <c r="J22" s="102"/>
      <c r="K22" s="102"/>
      <c r="L22" s="102"/>
      <c r="M22" s="102"/>
      <c r="N22" s="153">
        <f>+R13+R18</f>
        <v>7120.0050000000001</v>
      </c>
      <c r="O22" s="154">
        <f t="shared" si="0"/>
        <v>0</v>
      </c>
      <c r="P22" s="352" t="s">
        <v>213</v>
      </c>
      <c r="Q22" s="353">
        <f>+Q12+Q17</f>
        <v>1817.69</v>
      </c>
    </row>
    <row r="23" spans="1:18" ht="12.75" x14ac:dyDescent="0.2">
      <c r="A23" s="119">
        <f t="shared" si="1"/>
        <v>17</v>
      </c>
      <c r="B23" s="10" t="s">
        <v>211</v>
      </c>
      <c r="C23" s="80" t="s">
        <v>204</v>
      </c>
      <c r="D23" s="100" t="s">
        <v>568</v>
      </c>
      <c r="E23" s="101"/>
      <c r="F23" s="104">
        <f>+N23*75%</f>
        <v>14856.071249999997</v>
      </c>
      <c r="G23" s="104"/>
      <c r="H23" s="349"/>
      <c r="I23" s="102"/>
      <c r="J23" s="102">
        <f>+N23*25%</f>
        <v>4952.0237499999994</v>
      </c>
      <c r="K23" s="102"/>
      <c r="L23" s="102"/>
      <c r="M23" s="102"/>
      <c r="N23" s="155">
        <f>+R11+R16</f>
        <v>19808.094999999998</v>
      </c>
      <c r="O23" s="154">
        <f t="shared" si="0"/>
        <v>0</v>
      </c>
      <c r="P23" s="354" t="s">
        <v>214</v>
      </c>
      <c r="Q23" s="355">
        <f>+Q13+Q18</f>
        <v>2202.96</v>
      </c>
    </row>
    <row r="24" spans="1:18" ht="12.75" x14ac:dyDescent="0.2">
      <c r="A24" s="119">
        <f t="shared" si="1"/>
        <v>18</v>
      </c>
      <c r="B24" s="10" t="s">
        <v>209</v>
      </c>
      <c r="C24" s="80" t="s">
        <v>205</v>
      </c>
      <c r="D24" s="100" t="s">
        <v>201</v>
      </c>
      <c r="E24" s="104"/>
      <c r="F24" s="102"/>
      <c r="G24" s="104">
        <f>+N24</f>
        <v>7120.0050000000001</v>
      </c>
      <c r="H24" s="349"/>
      <c r="I24" s="102"/>
      <c r="J24" s="102"/>
      <c r="K24" s="102"/>
      <c r="L24" s="102"/>
      <c r="M24" s="102"/>
      <c r="N24" s="155">
        <f>+R13+R18</f>
        <v>7120.0050000000001</v>
      </c>
      <c r="O24" s="154">
        <f t="shared" si="0"/>
        <v>0</v>
      </c>
      <c r="P24" s="22"/>
      <c r="Q24" s="22"/>
    </row>
    <row r="25" spans="1:18" ht="12.75" x14ac:dyDescent="0.2">
      <c r="A25" s="119">
        <f>+A26+1</f>
        <v>20</v>
      </c>
      <c r="B25" s="10" t="s">
        <v>211</v>
      </c>
      <c r="C25" s="80" t="s">
        <v>539</v>
      </c>
      <c r="D25" s="100" t="s">
        <v>151</v>
      </c>
      <c r="E25" s="101">
        <f>+N25*50%</f>
        <v>9904.0474999999988</v>
      </c>
      <c r="F25" s="104"/>
      <c r="G25" s="104"/>
      <c r="H25" s="349">
        <f>+N25*50%</f>
        <v>9904.0474999999988</v>
      </c>
      <c r="I25" s="104"/>
      <c r="J25" s="104"/>
      <c r="K25" s="104"/>
      <c r="L25" s="104"/>
      <c r="M25" s="104"/>
      <c r="N25" s="155">
        <f>+R11+R16</f>
        <v>19808.094999999998</v>
      </c>
      <c r="O25" s="154">
        <f t="shared" si="0"/>
        <v>0</v>
      </c>
      <c r="P25" s="145" t="s">
        <v>215</v>
      </c>
      <c r="Q25" s="324">
        <v>149.26</v>
      </c>
      <c r="R25" s="124" t="s">
        <v>212</v>
      </c>
    </row>
    <row r="26" spans="1:18" ht="12.75" x14ac:dyDescent="0.2">
      <c r="A26" s="119">
        <f>+A24+1</f>
        <v>19</v>
      </c>
      <c r="B26" s="10" t="s">
        <v>211</v>
      </c>
      <c r="C26" s="80" t="s">
        <v>388</v>
      </c>
      <c r="D26" s="100" t="s">
        <v>201</v>
      </c>
      <c r="E26" s="101"/>
      <c r="F26" s="104"/>
      <c r="G26" s="104"/>
      <c r="H26" s="349"/>
      <c r="I26" s="104">
        <f>+N26</f>
        <v>19808.094999999998</v>
      </c>
      <c r="J26" s="104"/>
      <c r="K26" s="104"/>
      <c r="L26" s="104"/>
      <c r="M26" s="104"/>
      <c r="N26" s="155">
        <f>+R11+R16</f>
        <v>19808.094999999998</v>
      </c>
      <c r="O26" s="154">
        <f>SUM(E26:M26)-N26</f>
        <v>0</v>
      </c>
      <c r="P26" s="145" t="s">
        <v>215</v>
      </c>
      <c r="Q26" s="324">
        <v>83.2</v>
      </c>
      <c r="R26" s="124" t="s">
        <v>494</v>
      </c>
    </row>
    <row r="27" spans="1:18" ht="12.75" x14ac:dyDescent="0.2">
      <c r="A27" s="119">
        <f>+A25+1</f>
        <v>21</v>
      </c>
      <c r="B27" s="10" t="s">
        <v>209</v>
      </c>
      <c r="C27" s="80" t="s">
        <v>232</v>
      </c>
      <c r="D27" s="100" t="s">
        <v>565</v>
      </c>
      <c r="E27" s="101"/>
      <c r="F27" s="104">
        <f>+N27*25%</f>
        <v>1780.00125</v>
      </c>
      <c r="G27" s="104">
        <f>+N27*75%</f>
        <v>5340.0037499999999</v>
      </c>
      <c r="H27" s="349"/>
      <c r="I27" s="104"/>
      <c r="J27" s="104"/>
      <c r="K27" s="104"/>
      <c r="L27" s="104"/>
      <c r="M27" s="104"/>
      <c r="N27" s="155">
        <f>+R13+R18</f>
        <v>7120.0050000000001</v>
      </c>
      <c r="O27" s="154">
        <f t="shared" si="0"/>
        <v>0</v>
      </c>
      <c r="P27" s="145" t="s">
        <v>215</v>
      </c>
      <c r="Q27" s="324">
        <v>44.21</v>
      </c>
      <c r="R27" s="124" t="s">
        <v>209</v>
      </c>
    </row>
    <row r="28" spans="1:18" ht="12.75" x14ac:dyDescent="0.2">
      <c r="A28" s="119">
        <f t="shared" si="1"/>
        <v>22</v>
      </c>
      <c r="B28" s="10" t="s">
        <v>211</v>
      </c>
      <c r="C28" s="80" t="s">
        <v>206</v>
      </c>
      <c r="D28" s="100" t="s">
        <v>201</v>
      </c>
      <c r="E28" s="101"/>
      <c r="F28" s="104"/>
      <c r="G28" s="104"/>
      <c r="H28" s="349"/>
      <c r="I28" s="102"/>
      <c r="J28" s="102">
        <f>+N28</f>
        <v>19808.094999999998</v>
      </c>
      <c r="K28" s="102"/>
      <c r="L28" s="102"/>
      <c r="M28" s="102"/>
      <c r="N28" s="155">
        <f>+R11+R16</f>
        <v>19808.094999999998</v>
      </c>
      <c r="O28" s="154">
        <f t="shared" si="0"/>
        <v>0</v>
      </c>
      <c r="P28" s="146"/>
    </row>
    <row r="29" spans="1:18" ht="12.75" x14ac:dyDescent="0.2">
      <c r="A29" s="119">
        <f t="shared" si="1"/>
        <v>23</v>
      </c>
      <c r="B29" s="10" t="s">
        <v>209</v>
      </c>
      <c r="C29" s="80" t="s">
        <v>389</v>
      </c>
      <c r="D29" s="100" t="s">
        <v>567</v>
      </c>
      <c r="E29" s="101">
        <f>+N29*17%</f>
        <v>1210.4008500000002</v>
      </c>
      <c r="F29" s="104">
        <f>+N29*41%</f>
        <v>2919.2020499999999</v>
      </c>
      <c r="G29" s="104">
        <f>+N29*42%</f>
        <v>2990.4020999999998</v>
      </c>
      <c r="H29" s="349"/>
      <c r="I29" s="22"/>
      <c r="J29" s="102"/>
      <c r="K29" s="102"/>
      <c r="L29" s="102"/>
      <c r="M29" s="102"/>
      <c r="N29" s="155">
        <f>+R13+R18</f>
        <v>7120.0050000000001</v>
      </c>
      <c r="O29" s="154">
        <f t="shared" si="0"/>
        <v>0</v>
      </c>
      <c r="P29" s="146"/>
    </row>
    <row r="30" spans="1:18" ht="12.75" x14ac:dyDescent="0.2">
      <c r="A30" s="119">
        <f t="shared" si="1"/>
        <v>24</v>
      </c>
      <c r="B30" s="10" t="s">
        <v>211</v>
      </c>
      <c r="C30" s="80" t="s">
        <v>571</v>
      </c>
      <c r="D30" s="100"/>
      <c r="E30" s="101"/>
      <c r="F30" s="104"/>
      <c r="G30" s="104"/>
      <c r="H30" s="104"/>
      <c r="I30" s="104"/>
      <c r="J30" s="104"/>
      <c r="K30" s="102"/>
      <c r="L30" s="102">
        <f>+N30</f>
        <v>19808.094999999998</v>
      </c>
      <c r="M30" s="102"/>
      <c r="N30" s="155">
        <f>(+R11+R16)</f>
        <v>19808.094999999998</v>
      </c>
      <c r="O30" s="154">
        <f t="shared" si="0"/>
        <v>0</v>
      </c>
      <c r="P30" s="146"/>
    </row>
    <row r="31" spans="1:18" ht="12.75" x14ac:dyDescent="0.2">
      <c r="A31" s="119">
        <f t="shared" si="1"/>
        <v>25</v>
      </c>
      <c r="B31" s="10" t="s">
        <v>210</v>
      </c>
      <c r="C31" s="80" t="s">
        <v>434</v>
      </c>
      <c r="D31" s="100" t="s">
        <v>151</v>
      </c>
      <c r="E31" s="101"/>
      <c r="F31" s="104"/>
      <c r="G31" s="104">
        <f>+N31*50%</f>
        <v>7407.9049999999997</v>
      </c>
      <c r="H31" s="349"/>
      <c r="I31" s="104"/>
      <c r="J31" s="104"/>
      <c r="K31" s="104"/>
      <c r="L31" s="104"/>
      <c r="M31" s="104">
        <f>+N31*50%</f>
        <v>7407.9049999999997</v>
      </c>
      <c r="N31" s="155">
        <f>+R12+R17</f>
        <v>14815.81</v>
      </c>
      <c r="O31" s="154">
        <f t="shared" si="0"/>
        <v>0</v>
      </c>
      <c r="P31" s="146"/>
    </row>
    <row r="32" spans="1:18" x14ac:dyDescent="0.2">
      <c r="B32" s="10"/>
      <c r="C32" s="160"/>
      <c r="D32" s="282"/>
      <c r="E32" s="101"/>
      <c r="F32" s="104"/>
      <c r="G32" s="104"/>
      <c r="H32" s="349"/>
      <c r="I32" s="104"/>
      <c r="J32" s="104"/>
      <c r="K32" s="104"/>
      <c r="L32" s="104"/>
      <c r="M32" s="104"/>
      <c r="N32" s="155"/>
      <c r="O32" s="154"/>
      <c r="P32" s="146"/>
    </row>
    <row r="33" spans="1:18" s="57" customFormat="1" ht="12.75" x14ac:dyDescent="0.2">
      <c r="A33" s="147"/>
      <c r="B33" s="147"/>
      <c r="C33" s="54" t="s">
        <v>207</v>
      </c>
      <c r="D33" s="54"/>
      <c r="E33" s="156">
        <f t="shared" ref="E33:N33" si="2">SUM(E7:E31)</f>
        <v>129269.02545000002</v>
      </c>
      <c r="F33" s="156">
        <f t="shared" si="2"/>
        <v>38656.586174999997</v>
      </c>
      <c r="G33" s="156">
        <f t="shared" si="2"/>
        <v>74634.665874999992</v>
      </c>
      <c r="H33" s="156">
        <f t="shared" si="2"/>
        <v>9904.0474999999988</v>
      </c>
      <c r="I33" s="156">
        <f t="shared" si="2"/>
        <v>26928.1</v>
      </c>
      <c r="J33" s="156">
        <f t="shared" si="2"/>
        <v>24760.118749999998</v>
      </c>
      <c r="K33" s="156">
        <f t="shared" si="2"/>
        <v>8177.3458333333338</v>
      </c>
      <c r="L33" s="156">
        <f t="shared" si="2"/>
        <v>19808.094999999998</v>
      </c>
      <c r="M33" s="156">
        <f t="shared" si="2"/>
        <v>7407.9049999999997</v>
      </c>
      <c r="N33" s="156">
        <f t="shared" si="2"/>
        <v>339545.88958333328</v>
      </c>
      <c r="O33" s="157"/>
      <c r="P33" s="149"/>
      <c r="Q33" s="148"/>
      <c r="R33" s="148"/>
    </row>
    <row r="34" spans="1:18" s="52" customFormat="1" ht="16.5" x14ac:dyDescent="0.35">
      <c r="A34" s="39"/>
      <c r="B34" s="39"/>
      <c r="C34" s="150"/>
      <c r="D34" s="28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952"/>
      <c r="Q34" s="952"/>
      <c r="R34" s="145"/>
    </row>
    <row r="35" spans="1:18" s="52" customFormat="1" ht="16.5" x14ac:dyDescent="0.35">
      <c r="A35" s="39"/>
      <c r="B35" s="39"/>
      <c r="C35" s="150"/>
      <c r="D35" s="283"/>
      <c r="E35" s="4"/>
      <c r="F35" s="4"/>
      <c r="G35" s="4"/>
      <c r="H35" s="4"/>
      <c r="I35" s="4"/>
      <c r="J35" s="4"/>
      <c r="K35" s="4"/>
      <c r="L35" s="437"/>
      <c r="M35" s="437"/>
      <c r="N35" s="6"/>
      <c r="O35" s="4"/>
      <c r="P35" s="161"/>
      <c r="Q35" s="161"/>
      <c r="R35" s="145"/>
    </row>
    <row r="36" spans="1:18" x14ac:dyDescent="0.2">
      <c r="L36" s="437"/>
      <c r="M36" s="437"/>
      <c r="N36" s="6"/>
    </row>
    <row r="37" spans="1:18" x14ac:dyDescent="0.2">
      <c r="L37" s="437"/>
      <c r="M37" s="437"/>
      <c r="N37" s="6"/>
    </row>
    <row r="38" spans="1:18" x14ac:dyDescent="0.2">
      <c r="L38" s="438"/>
      <c r="M38" s="438"/>
      <c r="N38" s="439"/>
    </row>
    <row r="39" spans="1:18" x14ac:dyDescent="0.2">
      <c r="N39" s="439"/>
    </row>
    <row r="40" spans="1:18" x14ac:dyDescent="0.2">
      <c r="N40" s="440"/>
    </row>
  </sheetData>
  <mergeCells count="2">
    <mergeCell ref="P10:Q10"/>
    <mergeCell ref="P34:Q34"/>
  </mergeCells>
  <printOptions horizontalCentered="1" verticalCentered="1" headings="1" gridLines="1"/>
  <pageMargins left="0.17" right="0.17" top="0.17" bottom="0.17" header="0.17" footer="0.17"/>
  <pageSetup scale="70" orientation="landscape" horizontalDpi="1200" r:id="rId1"/>
  <headerFooter alignWithMargins="0">
    <oddHeader>&amp;R&amp;D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F03F5-311F-49A0-98EF-04E2E03825EB}">
  <sheetPr>
    <pageSetUpPr fitToPage="1"/>
  </sheetPr>
  <dimension ref="A1:AD35"/>
  <sheetViews>
    <sheetView workbookViewId="0">
      <pane xSplit="2" ySplit="6" topLeftCell="C7" activePane="bottomRight" state="frozen"/>
      <selection activeCell="B17" sqref="B17"/>
      <selection pane="topRight" activeCell="B17" sqref="B17"/>
      <selection pane="bottomLeft" activeCell="B17" sqref="B17"/>
      <selection pane="bottomRight" activeCell="B1" sqref="B1"/>
    </sheetView>
  </sheetViews>
  <sheetFormatPr defaultColWidth="9.140625" defaultRowHeight="12.75" x14ac:dyDescent="0.2"/>
  <cols>
    <col min="1" max="1" width="7.28515625" style="2" customWidth="1"/>
    <col min="2" max="2" width="28.28515625" style="649" customWidth="1"/>
    <col min="3" max="3" width="11.140625" style="102" bestFit="1" customWidth="1"/>
    <col min="4" max="4" width="9.28515625" style="102" customWidth="1"/>
    <col min="5" max="5" width="9.140625" style="102" customWidth="1"/>
    <col min="6" max="6" width="8.7109375" style="102" bestFit="1" customWidth="1"/>
    <col min="7" max="7" width="9.5703125" style="102" customWidth="1"/>
    <col min="8" max="8" width="10.28515625" style="102" bestFit="1" customWidth="1"/>
    <col min="9" max="9" width="11.85546875" style="102" customWidth="1"/>
    <col min="10" max="11" width="8.85546875" style="102" bestFit="1" customWidth="1"/>
    <col min="12" max="13" width="11" style="102" bestFit="1" customWidth="1"/>
    <col min="14" max="15" width="9.28515625" style="102" bestFit="1" customWidth="1"/>
    <col min="16" max="16" width="9" style="102" customWidth="1"/>
    <col min="17" max="17" width="10" style="102" customWidth="1"/>
    <col min="18" max="19" width="9.28515625" style="102" bestFit="1" customWidth="1"/>
    <col min="20" max="20" width="8.7109375" style="400" bestFit="1" customWidth="1"/>
    <col min="21" max="21" width="10.28515625" style="400" hidden="1" customWidth="1"/>
    <col min="22" max="23" width="10.5703125" style="296" hidden="1" customWidth="1"/>
    <col min="24" max="24" width="13.28515625" style="401" hidden="1" customWidth="1"/>
    <col min="25" max="25" width="5.85546875" style="368" customWidth="1"/>
    <col min="26" max="26" width="10.5703125" style="369" bestFit="1" customWidth="1"/>
    <col min="27" max="27" width="11.7109375" style="368" bestFit="1" customWidth="1"/>
    <col min="28" max="28" width="0.28515625" style="368" customWidth="1"/>
    <col min="29" max="29" width="10.85546875" style="368" bestFit="1" customWidth="1"/>
    <col min="30" max="30" width="10.85546875" style="369" bestFit="1" customWidth="1"/>
    <col min="31" max="16384" width="9.140625" style="649"/>
  </cols>
  <sheetData>
    <row r="1" spans="1:30" ht="18" customHeight="1" x14ac:dyDescent="0.25">
      <c r="B1" s="158">
        <v>45230</v>
      </c>
      <c r="C1" s="399"/>
    </row>
    <row r="2" spans="1:30" s="87" customFormat="1" ht="37.5" x14ac:dyDescent="0.5">
      <c r="A2" s="370"/>
      <c r="B2" s="953" t="s">
        <v>1379</v>
      </c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371"/>
      <c r="Z2" s="372"/>
      <c r="AA2" s="371"/>
      <c r="AB2" s="371"/>
      <c r="AC2" s="371"/>
      <c r="AD2" s="372"/>
    </row>
    <row r="3" spans="1:30" ht="18" x14ac:dyDescent="0.25">
      <c r="B3" s="75"/>
      <c r="C3" s="402"/>
      <c r="D3" s="402"/>
      <c r="E3" s="402"/>
      <c r="F3" s="402"/>
      <c r="G3" s="402"/>
      <c r="H3" s="402"/>
      <c r="I3" s="402"/>
      <c r="J3" s="403" t="s">
        <v>498</v>
      </c>
      <c r="K3" s="403" t="s">
        <v>498</v>
      </c>
      <c r="L3" s="403" t="s">
        <v>499</v>
      </c>
      <c r="M3" s="403" t="s">
        <v>499</v>
      </c>
      <c r="N3" s="402"/>
      <c r="O3" s="403" t="s">
        <v>129</v>
      </c>
      <c r="P3" s="402"/>
      <c r="Q3" s="403" t="s">
        <v>120</v>
      </c>
      <c r="R3" s="403" t="s">
        <v>500</v>
      </c>
      <c r="S3" s="403" t="s">
        <v>216</v>
      </c>
      <c r="T3" s="402"/>
      <c r="U3" s="402"/>
      <c r="V3" s="402"/>
      <c r="W3" s="402"/>
    </row>
    <row r="4" spans="1:30" s="91" customFormat="1" ht="11.25" x14ac:dyDescent="0.2">
      <c r="C4" s="403" t="s">
        <v>180</v>
      </c>
      <c r="D4" s="403" t="s">
        <v>1380</v>
      </c>
      <c r="E4" s="403" t="s">
        <v>1329</v>
      </c>
      <c r="F4" s="403" t="s">
        <v>182</v>
      </c>
      <c r="G4" s="403" t="s">
        <v>590</v>
      </c>
      <c r="H4" s="403" t="s">
        <v>116</v>
      </c>
      <c r="I4" s="403" t="s">
        <v>501</v>
      </c>
      <c r="J4" s="403" t="s">
        <v>502</v>
      </c>
      <c r="K4" s="403" t="s">
        <v>503</v>
      </c>
      <c r="L4" s="403" t="s">
        <v>502</v>
      </c>
      <c r="M4" s="403" t="s">
        <v>503</v>
      </c>
      <c r="N4" s="403" t="s">
        <v>129</v>
      </c>
      <c r="O4" s="403" t="s">
        <v>503</v>
      </c>
      <c r="P4" s="403" t="s">
        <v>120</v>
      </c>
      <c r="Q4" s="403" t="s">
        <v>503</v>
      </c>
      <c r="R4" s="403" t="s">
        <v>119</v>
      </c>
      <c r="S4" s="403" t="s">
        <v>119</v>
      </c>
      <c r="T4" s="404"/>
      <c r="U4" s="404"/>
      <c r="V4" s="405"/>
      <c r="W4" s="405"/>
      <c r="X4" s="404"/>
      <c r="Y4" s="373"/>
      <c r="Z4" s="374"/>
      <c r="AA4" s="373"/>
      <c r="AB4" s="373"/>
      <c r="AC4" s="373"/>
      <c r="AD4" s="374"/>
    </row>
    <row r="5" spans="1:30" s="651" customFormat="1" x14ac:dyDescent="0.2">
      <c r="C5" s="689">
        <v>111</v>
      </c>
      <c r="D5" s="406">
        <v>118</v>
      </c>
      <c r="E5" s="406">
        <v>118</v>
      </c>
      <c r="F5" s="406">
        <v>122</v>
      </c>
      <c r="G5" s="406">
        <v>124</v>
      </c>
      <c r="H5" s="406">
        <v>125</v>
      </c>
      <c r="I5" s="688">
        <v>232</v>
      </c>
      <c r="J5" s="406">
        <v>240</v>
      </c>
      <c r="K5" s="406">
        <v>240</v>
      </c>
      <c r="L5" s="406">
        <v>241</v>
      </c>
      <c r="M5" s="406">
        <v>241</v>
      </c>
      <c r="N5" s="406">
        <v>261</v>
      </c>
      <c r="O5" s="406">
        <v>261</v>
      </c>
      <c r="P5" s="406">
        <v>271</v>
      </c>
      <c r="Q5" s="406">
        <v>271</v>
      </c>
      <c r="R5" s="407" t="s">
        <v>504</v>
      </c>
      <c r="S5" s="407" t="s">
        <v>505</v>
      </c>
      <c r="T5" s="408" t="s">
        <v>190</v>
      </c>
      <c r="U5" s="409" t="s">
        <v>506</v>
      </c>
      <c r="V5" s="409" t="s">
        <v>507</v>
      </c>
      <c r="W5" s="409" t="s">
        <v>508</v>
      </c>
      <c r="X5" s="408" t="s">
        <v>509</v>
      </c>
      <c r="Y5" s="375"/>
      <c r="Z5" s="376"/>
      <c r="AA5" s="375"/>
      <c r="AB5" s="375"/>
      <c r="AC5" s="375"/>
      <c r="AD5" s="493"/>
    </row>
    <row r="6" spans="1:30" s="96" customFormat="1" ht="13.5" thickBot="1" x14ac:dyDescent="0.25">
      <c r="A6" s="97"/>
      <c r="B6" s="96" t="s">
        <v>208</v>
      </c>
      <c r="C6" s="480">
        <v>2130.1010000000001</v>
      </c>
      <c r="D6" s="480">
        <v>2130.1260000000002</v>
      </c>
      <c r="E6" s="480">
        <v>2130.1109999999999</v>
      </c>
      <c r="F6" s="480">
        <v>2130.1039999999998</v>
      </c>
      <c r="G6" s="480">
        <v>2130.105</v>
      </c>
      <c r="H6" s="480">
        <v>2130.1120000000001</v>
      </c>
      <c r="I6" s="480">
        <v>2130.1089999999999</v>
      </c>
      <c r="J6" s="480">
        <v>2130.12</v>
      </c>
      <c r="K6" s="480">
        <v>2130.1239999999998</v>
      </c>
      <c r="L6" s="480">
        <v>2130.1210000000001</v>
      </c>
      <c r="M6" s="480">
        <v>2130.125</v>
      </c>
      <c r="N6" s="480">
        <v>2130.1179999999999</v>
      </c>
      <c r="O6" s="480">
        <v>2130.1219999999998</v>
      </c>
      <c r="P6" s="480">
        <v>2130.1190000000001</v>
      </c>
      <c r="Q6" s="480">
        <v>2130.123</v>
      </c>
      <c r="R6" s="480">
        <v>2130.1170000000002</v>
      </c>
      <c r="S6" s="480">
        <v>2130.116</v>
      </c>
      <c r="T6" s="410" t="s">
        <v>146</v>
      </c>
      <c r="U6" s="411" t="s">
        <v>510</v>
      </c>
      <c r="V6" s="411" t="s">
        <v>511</v>
      </c>
      <c r="W6" s="411" t="s">
        <v>511</v>
      </c>
      <c r="X6" s="412" t="s">
        <v>146</v>
      </c>
      <c r="Y6" s="377"/>
      <c r="Z6" s="690" t="s">
        <v>527</v>
      </c>
      <c r="AA6" s="691" t="s">
        <v>1382</v>
      </c>
      <c r="AB6" s="377"/>
      <c r="AC6" s="377"/>
      <c r="AD6" s="378"/>
    </row>
    <row r="7" spans="1:30" x14ac:dyDescent="0.2">
      <c r="A7" s="713" t="s">
        <v>1384</v>
      </c>
      <c r="B7" s="538" t="s">
        <v>1385</v>
      </c>
      <c r="C7" s="101"/>
      <c r="D7" s="319">
        <f>+AC16</f>
        <v>513.72</v>
      </c>
      <c r="E7" s="649"/>
      <c r="G7" s="101"/>
      <c r="H7" s="101"/>
      <c r="T7" s="413">
        <f>+AC16</f>
        <v>513.72</v>
      </c>
      <c r="U7" s="414">
        <v>36.619999999999997</v>
      </c>
      <c r="V7" s="415"/>
      <c r="W7" s="415" t="e">
        <f>(+Z10*#REF!)</f>
        <v>#VALUE!</v>
      </c>
      <c r="X7" s="416" t="e">
        <f>SUM(T7:W7)</f>
        <v>#VALUE!</v>
      </c>
      <c r="Y7" s="379">
        <f t="shared" ref="Y7:Y24" si="0">SUM(C7:S7)-T7</f>
        <v>0</v>
      </c>
      <c r="Z7" s="649"/>
      <c r="AA7" s="649"/>
      <c r="AB7" s="649"/>
      <c r="AC7" s="649"/>
      <c r="AD7" s="392"/>
    </row>
    <row r="8" spans="1:30" s="9" customFormat="1" ht="15" x14ac:dyDescent="0.35">
      <c r="A8" s="652" t="s">
        <v>211</v>
      </c>
      <c r="B8" s="721" t="s">
        <v>1386</v>
      </c>
      <c r="C8" s="101"/>
      <c r="D8" s="319"/>
      <c r="E8" s="714"/>
      <c r="F8" s="719"/>
      <c r="G8" s="104"/>
      <c r="H8" s="104"/>
      <c r="I8" s="104"/>
      <c r="J8" s="104"/>
      <c r="K8" s="104"/>
      <c r="L8" s="104"/>
      <c r="M8" s="104"/>
      <c r="N8" s="104">
        <f>+T8*1/8</f>
        <v>2800.1662500000002</v>
      </c>
      <c r="O8" s="104"/>
      <c r="P8" s="104"/>
      <c r="Q8" s="104"/>
      <c r="R8" s="104"/>
      <c r="S8" s="104">
        <f>+T8*7/8</f>
        <v>19601.16375</v>
      </c>
      <c r="T8" s="413">
        <f>+AC9+AC14</f>
        <v>22401.33</v>
      </c>
      <c r="U8" s="417">
        <v>36.619999999999997</v>
      </c>
      <c r="V8" s="319"/>
      <c r="W8" s="319" t="e">
        <f>(+Z10*#REF!)</f>
        <v>#VALUE!</v>
      </c>
      <c r="X8" s="416" t="e">
        <f>SUM(T8:W8)</f>
        <v>#VALUE!</v>
      </c>
      <c r="Y8" s="379">
        <f t="shared" si="0"/>
        <v>0</v>
      </c>
      <c r="Z8" s="954" t="s">
        <v>1381</v>
      </c>
      <c r="AA8" s="954"/>
      <c r="AB8" s="380"/>
      <c r="AC8" s="481" t="s">
        <v>527</v>
      </c>
      <c r="AD8" s="392"/>
    </row>
    <row r="9" spans="1:30" s="9" customFormat="1" x14ac:dyDescent="0.2">
      <c r="A9" s="682" t="s">
        <v>211</v>
      </c>
      <c r="B9" s="720" t="s">
        <v>1387</v>
      </c>
      <c r="C9" s="319"/>
      <c r="D9" s="319"/>
      <c r="E9" s="718"/>
      <c r="F9" s="716"/>
      <c r="G9" s="717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>
        <f>+T9</f>
        <v>16801.87</v>
      </c>
      <c r="S9" s="104"/>
      <c r="T9" s="413">
        <f>+AC10+AC15</f>
        <v>16801.87</v>
      </c>
      <c r="U9" s="414"/>
      <c r="V9" s="319"/>
      <c r="W9" s="319"/>
      <c r="X9" s="416"/>
      <c r="Y9" s="379">
        <f t="shared" si="0"/>
        <v>0</v>
      </c>
      <c r="Z9" s="695" t="s">
        <v>212</v>
      </c>
      <c r="AA9" s="696">
        <v>2356.86</v>
      </c>
      <c r="AB9" s="368"/>
      <c r="AC9" s="697">
        <f>20180.43/2+21007.83/2</f>
        <v>20594.13</v>
      </c>
      <c r="AD9" s="392"/>
    </row>
    <row r="10" spans="1:30" s="9" customFormat="1" x14ac:dyDescent="0.2">
      <c r="A10" s="682" t="s">
        <v>494</v>
      </c>
      <c r="B10" s="543" t="s">
        <v>1388</v>
      </c>
      <c r="C10" s="101"/>
      <c r="D10" s="319"/>
      <c r="E10" s="319"/>
      <c r="F10" s="104"/>
      <c r="G10" s="104"/>
      <c r="H10" s="104"/>
      <c r="I10" s="104"/>
      <c r="J10" s="104">
        <f>+T10</f>
        <v>16801.87</v>
      </c>
      <c r="K10" s="104"/>
      <c r="L10" s="104"/>
      <c r="M10" s="104"/>
      <c r="N10" s="104"/>
      <c r="O10" s="104"/>
      <c r="P10" s="104"/>
      <c r="Q10" s="104"/>
      <c r="R10" s="104"/>
      <c r="S10" s="104"/>
      <c r="T10" s="413">
        <f>+AC10+AC15</f>
        <v>16801.87</v>
      </c>
      <c r="U10" s="417">
        <v>37.619999999999997</v>
      </c>
      <c r="V10" s="319"/>
      <c r="W10" s="319" t="e">
        <f>(+Z11*#REF!)</f>
        <v>#VALUE!</v>
      </c>
      <c r="X10" s="416" t="e">
        <f>SUM(T10:W10)</f>
        <v>#VALUE!</v>
      </c>
      <c r="Y10" s="379">
        <f t="shared" si="0"/>
        <v>0</v>
      </c>
      <c r="Z10" s="698" t="s">
        <v>213</v>
      </c>
      <c r="AA10" s="693">
        <v>1893.9</v>
      </c>
      <c r="AB10" s="368">
        <f>15474.6/2+16109.06/2</f>
        <v>15791.83</v>
      </c>
      <c r="AC10" s="694">
        <f>15474.6/2+16109.06/2</f>
        <v>15791.83</v>
      </c>
      <c r="AD10" s="392"/>
    </row>
    <row r="11" spans="1:30" s="9" customFormat="1" x14ac:dyDescent="0.2">
      <c r="A11" s="682" t="s">
        <v>1389</v>
      </c>
      <c r="B11" s="543" t="s">
        <v>1390</v>
      </c>
      <c r="C11" s="101">
        <f>+T11*(0.5/7.5)</f>
        <v>34.248000000000005</v>
      </c>
      <c r="D11" s="319"/>
      <c r="E11" s="319"/>
      <c r="F11" s="104">
        <f>+T11*7/7.5</f>
        <v>479.47199999999998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413">
        <f>+AC16</f>
        <v>513.72</v>
      </c>
      <c r="U11" s="414">
        <v>13.08</v>
      </c>
      <c r="V11" s="319">
        <f>4.8</f>
        <v>4.8</v>
      </c>
      <c r="W11" s="415" t="e">
        <f>+Z12*#REF!</f>
        <v>#REF!</v>
      </c>
      <c r="X11" s="416" t="e">
        <f t="shared" ref="X11:X20" si="1">SUM(T11:W11)</f>
        <v>#REF!</v>
      </c>
      <c r="Y11" s="379">
        <f t="shared" si="0"/>
        <v>0</v>
      </c>
      <c r="Z11" s="698" t="s">
        <v>214</v>
      </c>
      <c r="AA11" s="693">
        <v>841.74</v>
      </c>
      <c r="AB11" s="649">
        <f>7399.47/2+7702.85/2</f>
        <v>7551.16</v>
      </c>
      <c r="AC11" s="694">
        <f>7399.47/2+7702.85/2</f>
        <v>7551.16</v>
      </c>
      <c r="AD11" s="392"/>
    </row>
    <row r="12" spans="1:30" s="9" customFormat="1" x14ac:dyDescent="0.2">
      <c r="A12" s="682" t="s">
        <v>1391</v>
      </c>
      <c r="B12" s="543" t="s">
        <v>1392</v>
      </c>
      <c r="C12" s="101"/>
      <c r="D12" s="319"/>
      <c r="E12" s="319"/>
      <c r="F12" s="104"/>
      <c r="G12" s="104"/>
      <c r="H12" s="104"/>
      <c r="I12" s="104"/>
      <c r="J12" s="104"/>
      <c r="K12" s="104"/>
      <c r="L12" s="104">
        <f>+T12</f>
        <v>1010.04</v>
      </c>
      <c r="M12" s="104"/>
      <c r="N12" s="104"/>
      <c r="O12" s="104"/>
      <c r="P12" s="104"/>
      <c r="Q12" s="104"/>
      <c r="R12" s="104"/>
      <c r="S12" s="104"/>
      <c r="T12" s="413">
        <f>+AC15</f>
        <v>1010.04</v>
      </c>
      <c r="U12" s="414"/>
      <c r="V12" s="319"/>
      <c r="W12" s="415"/>
      <c r="X12" s="416"/>
      <c r="Y12" s="379">
        <f t="shared" si="0"/>
        <v>0</v>
      </c>
      <c r="Z12" s="692"/>
      <c r="AA12" s="693"/>
      <c r="AB12" s="380"/>
      <c r="AC12" s="694"/>
      <c r="AD12" s="392"/>
    </row>
    <row r="13" spans="1:30" x14ac:dyDescent="0.2">
      <c r="A13" s="682" t="s">
        <v>1393</v>
      </c>
      <c r="B13" s="538" t="s">
        <v>1394</v>
      </c>
      <c r="C13" s="722"/>
      <c r="D13" s="714"/>
      <c r="E13" s="714"/>
      <c r="F13" s="723"/>
      <c r="G13" s="722"/>
      <c r="H13" s="101"/>
      <c r="N13" s="102">
        <f>+T13</f>
        <v>513.72</v>
      </c>
      <c r="T13" s="418">
        <f>+AC16</f>
        <v>513.72</v>
      </c>
      <c r="U13" s="414">
        <v>36.619999999999997</v>
      </c>
      <c r="V13" s="415"/>
      <c r="W13" s="415" t="e">
        <f>+Z10*#REF!</f>
        <v>#VALUE!</v>
      </c>
      <c r="X13" s="416" t="e">
        <f t="shared" si="1"/>
        <v>#VALUE!</v>
      </c>
      <c r="Y13" s="379">
        <f t="shared" si="0"/>
        <v>0</v>
      </c>
      <c r="Z13" s="699" t="s">
        <v>1383</v>
      </c>
      <c r="AA13" s="699"/>
      <c r="AB13" s="649"/>
      <c r="AC13" s="699" t="s">
        <v>428</v>
      </c>
      <c r="AD13" s="392"/>
    </row>
    <row r="14" spans="1:30" x14ac:dyDescent="0.2">
      <c r="A14" s="682" t="s">
        <v>494</v>
      </c>
      <c r="B14" s="543" t="s">
        <v>1395</v>
      </c>
      <c r="C14" s="715"/>
      <c r="D14" s="724"/>
      <c r="E14" s="718"/>
      <c r="F14" s="725"/>
      <c r="G14" s="725"/>
      <c r="H14" s="726"/>
      <c r="N14" s="102">
        <f>+T14</f>
        <v>16801.87</v>
      </c>
      <c r="T14" s="413">
        <f>+AC10+AC15</f>
        <v>16801.87</v>
      </c>
      <c r="U14" s="414">
        <v>36.619999999999997</v>
      </c>
      <c r="V14" s="415"/>
      <c r="W14" s="415" t="e">
        <f>+Z10*#REF!</f>
        <v>#VALUE!</v>
      </c>
      <c r="X14" s="416" t="e">
        <f t="shared" si="1"/>
        <v>#VALUE!</v>
      </c>
      <c r="Y14" s="379">
        <f t="shared" si="0"/>
        <v>0</v>
      </c>
      <c r="Z14" s="700" t="s">
        <v>212</v>
      </c>
      <c r="AA14" s="701">
        <v>150.6</v>
      </c>
      <c r="AC14" s="324">
        <f>+AA14*12</f>
        <v>1807.1999999999998</v>
      </c>
      <c r="AD14" s="392"/>
    </row>
    <row r="15" spans="1:30" x14ac:dyDescent="0.2">
      <c r="A15" s="682" t="s">
        <v>209</v>
      </c>
      <c r="B15" s="538" t="s">
        <v>1396</v>
      </c>
      <c r="C15" s="104">
        <f>+T15*2/7.75</f>
        <v>2081.2593548387099</v>
      </c>
      <c r="D15" s="319"/>
      <c r="E15" s="319"/>
      <c r="G15" s="102">
        <f>+T15*4.75/7.75</f>
        <v>4942.9909677419355</v>
      </c>
      <c r="S15" s="102">
        <f>+T15*1/7.75</f>
        <v>1040.6296774193549</v>
      </c>
      <c r="T15" s="413">
        <f>+AC11+AC16</f>
        <v>8064.88</v>
      </c>
      <c r="U15" s="414">
        <v>36.619999999999997</v>
      </c>
      <c r="V15" s="319"/>
      <c r="W15" s="319" t="e">
        <f>+Z10*#REF!</f>
        <v>#VALUE!</v>
      </c>
      <c r="X15" s="416" t="e">
        <f t="shared" si="1"/>
        <v>#VALUE!</v>
      </c>
      <c r="Y15" s="379">
        <f t="shared" si="0"/>
        <v>0</v>
      </c>
      <c r="Z15" s="700" t="s">
        <v>213</v>
      </c>
      <c r="AA15" s="701">
        <v>84.17</v>
      </c>
      <c r="AC15" s="324">
        <f>+AA15*12</f>
        <v>1010.04</v>
      </c>
      <c r="AD15" s="392"/>
    </row>
    <row r="16" spans="1:30" s="9" customFormat="1" x14ac:dyDescent="0.2">
      <c r="A16" s="652" t="s">
        <v>209</v>
      </c>
      <c r="B16" s="538" t="s">
        <v>1397</v>
      </c>
      <c r="C16" s="101"/>
      <c r="D16" s="319"/>
      <c r="E16" s="319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>
        <f>+T16</f>
        <v>8064.88</v>
      </c>
      <c r="Q16" s="104"/>
      <c r="R16" s="104"/>
      <c r="S16" s="104"/>
      <c r="T16" s="413">
        <f>+AC11+AC16</f>
        <v>8064.88</v>
      </c>
      <c r="U16" s="414">
        <v>13.08</v>
      </c>
      <c r="V16" s="319"/>
      <c r="W16" s="319" t="e">
        <f>+Z12*#REF!</f>
        <v>#REF!</v>
      </c>
      <c r="X16" s="416" t="e">
        <f t="shared" si="1"/>
        <v>#REF!</v>
      </c>
      <c r="Y16" s="379">
        <f t="shared" si="0"/>
        <v>0</v>
      </c>
      <c r="Z16" s="700" t="s">
        <v>214</v>
      </c>
      <c r="AA16" s="702">
        <v>42.81</v>
      </c>
      <c r="AB16" s="368"/>
      <c r="AC16" s="324">
        <f>+AA16*12</f>
        <v>513.72</v>
      </c>
      <c r="AD16" s="392"/>
    </row>
    <row r="17" spans="1:30" s="9" customFormat="1" x14ac:dyDescent="0.2">
      <c r="A17" s="682" t="s">
        <v>1398</v>
      </c>
      <c r="B17" s="538" t="s">
        <v>1399</v>
      </c>
      <c r="C17" s="101"/>
      <c r="D17" s="319">
        <f>+T17</f>
        <v>513.72</v>
      </c>
      <c r="E17" s="319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413">
        <f>+AC16</f>
        <v>513.72</v>
      </c>
      <c r="U17" s="414">
        <v>13.08</v>
      </c>
      <c r="V17" s="319"/>
      <c r="W17" s="319" t="e">
        <f>+Z12*#REF!</f>
        <v>#REF!</v>
      </c>
      <c r="X17" s="416" t="e">
        <f t="shared" si="1"/>
        <v>#REF!</v>
      </c>
      <c r="Y17" s="379">
        <f t="shared" si="0"/>
        <v>0</v>
      </c>
      <c r="AC17" s="368"/>
      <c r="AD17" s="392"/>
    </row>
    <row r="18" spans="1:30" s="9" customFormat="1" x14ac:dyDescent="0.2">
      <c r="A18" s="682" t="s">
        <v>1401</v>
      </c>
      <c r="B18" s="538" t="s">
        <v>1400</v>
      </c>
      <c r="C18" s="727">
        <f>+T18*0.5/8</f>
        <v>32.107500000000002</v>
      </c>
      <c r="D18" s="540"/>
      <c r="E18" s="540"/>
      <c r="F18" s="104">
        <f>+T18*7.5/8</f>
        <v>481.61250000000001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413">
        <f>+AC16</f>
        <v>513.72</v>
      </c>
      <c r="U18" s="414">
        <v>29.43</v>
      </c>
      <c r="V18" s="319"/>
      <c r="W18" s="319" t="e">
        <f>+Z11*#REF!</f>
        <v>#VALUE!</v>
      </c>
      <c r="X18" s="416" t="e">
        <f t="shared" si="1"/>
        <v>#VALUE!</v>
      </c>
      <c r="Y18" s="379">
        <f t="shared" si="0"/>
        <v>0</v>
      </c>
      <c r="AC18" s="368" t="s">
        <v>215</v>
      </c>
      <c r="AD18" s="392"/>
    </row>
    <row r="19" spans="1:30" x14ac:dyDescent="0.2">
      <c r="A19" s="682" t="s">
        <v>1398</v>
      </c>
      <c r="B19" s="728" t="s">
        <v>1402</v>
      </c>
      <c r="C19" s="101">
        <f>+T19*1.75/8</f>
        <v>112.37625</v>
      </c>
      <c r="D19" s="415"/>
      <c r="E19" s="415"/>
      <c r="H19" s="102">
        <f>+T19*5.75/8</f>
        <v>369.23625000000004</v>
      </c>
      <c r="S19" s="102">
        <f>+T19*0.5/8</f>
        <v>32.107500000000002</v>
      </c>
      <c r="T19" s="419">
        <f>+AC16</f>
        <v>513.72</v>
      </c>
      <c r="U19" s="414">
        <v>29.43</v>
      </c>
      <c r="V19" s="415"/>
      <c r="W19" s="415" t="e">
        <f>+Z11*#REF!</f>
        <v>#VALUE!</v>
      </c>
      <c r="X19" s="416" t="e">
        <f t="shared" si="1"/>
        <v>#VALUE!</v>
      </c>
      <c r="Y19" s="379">
        <f t="shared" si="0"/>
        <v>0</v>
      </c>
      <c r="Z19" s="703" t="s">
        <v>212</v>
      </c>
      <c r="AA19" s="706">
        <f>+AA9+AA14</f>
        <v>2507.46</v>
      </c>
      <c r="AB19" s="380"/>
      <c r="AC19" s="709">
        <v>150.6</v>
      </c>
      <c r="AD19" s="392"/>
    </row>
    <row r="20" spans="1:30" x14ac:dyDescent="0.2">
      <c r="A20" s="682" t="s">
        <v>209</v>
      </c>
      <c r="B20" s="728" t="s">
        <v>1403</v>
      </c>
      <c r="C20" s="101">
        <f>+T20*1/6</f>
        <v>1344.1466666666668</v>
      </c>
      <c r="D20" s="415"/>
      <c r="E20" s="415"/>
      <c r="G20" s="102">
        <f>+T20*4/6</f>
        <v>5376.586666666667</v>
      </c>
      <c r="S20" s="102">
        <f>+T20*1/6</f>
        <v>1344.1466666666668</v>
      </c>
      <c r="T20" s="419">
        <f>+AC11+AC16</f>
        <v>8064.88</v>
      </c>
      <c r="U20" s="414">
        <v>29.43</v>
      </c>
      <c r="V20" s="319">
        <f>13+34</f>
        <v>47</v>
      </c>
      <c r="W20" s="415" t="e">
        <f>+Z11*#REF!</f>
        <v>#VALUE!</v>
      </c>
      <c r="X20" s="416" t="e">
        <f t="shared" si="1"/>
        <v>#VALUE!</v>
      </c>
      <c r="Y20" s="379">
        <f t="shared" si="0"/>
        <v>0</v>
      </c>
      <c r="Z20" s="704" t="s">
        <v>213</v>
      </c>
      <c r="AA20" s="707">
        <f>+AA10+AA15</f>
        <v>1978.0700000000002</v>
      </c>
      <c r="AC20" s="710">
        <v>84.17</v>
      </c>
      <c r="AD20" s="392"/>
    </row>
    <row r="21" spans="1:30" s="9" customFormat="1" x14ac:dyDescent="0.2">
      <c r="A21" s="682" t="s">
        <v>209</v>
      </c>
      <c r="B21" s="538" t="s">
        <v>1404</v>
      </c>
      <c r="C21" s="101"/>
      <c r="D21" s="319"/>
      <c r="E21" s="319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>
        <f>+T21</f>
        <v>1769.1</v>
      </c>
      <c r="Q21" s="104"/>
      <c r="R21" s="104"/>
      <c r="S21" s="104"/>
      <c r="T21" s="413">
        <f>(+AA$11+AA$16)*2</f>
        <v>1769.1</v>
      </c>
      <c r="U21" s="414">
        <v>13.08</v>
      </c>
      <c r="V21" s="319"/>
      <c r="W21" s="319" t="e">
        <f>+Z12*#REF!</f>
        <v>#REF!</v>
      </c>
      <c r="X21" s="416" t="e">
        <f>SUM(T21:W21)</f>
        <v>#REF!</v>
      </c>
      <c r="Y21" s="379">
        <f t="shared" si="0"/>
        <v>0</v>
      </c>
      <c r="Z21" s="705" t="s">
        <v>214</v>
      </c>
      <c r="AA21" s="708">
        <f>+AA11+AA16</f>
        <v>884.55</v>
      </c>
      <c r="AB21" s="368"/>
      <c r="AC21" s="711">
        <v>42.81</v>
      </c>
      <c r="AD21" s="392"/>
    </row>
    <row r="22" spans="1:30" s="9" customFormat="1" x14ac:dyDescent="0.2">
      <c r="A22" s="682" t="s">
        <v>209</v>
      </c>
      <c r="B22" s="538" t="s">
        <v>1405</v>
      </c>
      <c r="C22" s="101"/>
      <c r="D22" s="101"/>
      <c r="E22" s="101"/>
      <c r="F22" s="104"/>
      <c r="G22" s="104"/>
      <c r="H22" s="104"/>
      <c r="I22" s="104"/>
      <c r="J22" s="104"/>
      <c r="K22" s="104"/>
      <c r="L22" s="104"/>
      <c r="M22" s="104"/>
      <c r="O22" s="104"/>
      <c r="P22" s="104">
        <f>+T22</f>
        <v>8064.88</v>
      </c>
      <c r="Q22" s="104"/>
      <c r="R22" s="104"/>
      <c r="S22" s="101"/>
      <c r="T22" s="413">
        <f>+AC11+AC16</f>
        <v>8064.88</v>
      </c>
      <c r="U22" s="414">
        <v>36.619999999999997</v>
      </c>
      <c r="V22" s="319"/>
      <c r="W22" s="319" t="e">
        <f>+#REF!*#REF!</f>
        <v>#REF!</v>
      </c>
      <c r="X22" s="416" t="e">
        <f>SUM(T22:W22)</f>
        <v>#REF!</v>
      </c>
      <c r="Y22" s="379">
        <f t="shared" si="0"/>
        <v>0</v>
      </c>
      <c r="AD22" s="392"/>
    </row>
    <row r="23" spans="1:30" s="9" customFormat="1" x14ac:dyDescent="0.2">
      <c r="A23" s="682" t="s">
        <v>1398</v>
      </c>
      <c r="B23" s="538" t="s">
        <v>1367</v>
      </c>
      <c r="C23" s="319"/>
      <c r="D23" s="319"/>
      <c r="E23" s="319">
        <f>+T23</f>
        <v>513.72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413">
        <f>+AC16</f>
        <v>513.72</v>
      </c>
      <c r="U23" s="414"/>
      <c r="V23" s="319"/>
      <c r="W23" s="319"/>
      <c r="X23" s="416"/>
      <c r="Y23" s="379">
        <f t="shared" si="0"/>
        <v>0</v>
      </c>
      <c r="AB23" s="368"/>
      <c r="AC23" s="479"/>
      <c r="AD23" s="392"/>
    </row>
    <row r="24" spans="1:30" x14ac:dyDescent="0.2">
      <c r="A24" s="712" t="s">
        <v>1406</v>
      </c>
      <c r="B24" s="729" t="s">
        <v>1407</v>
      </c>
      <c r="C24" s="104"/>
      <c r="D24" s="319"/>
      <c r="E24" s="319"/>
      <c r="S24" s="415"/>
      <c r="T24" s="419">
        <v>0</v>
      </c>
      <c r="U24" s="414">
        <v>36.619999999999997</v>
      </c>
      <c r="V24" s="415"/>
      <c r="W24" s="415" t="e">
        <f>+Z10*#REF!</f>
        <v>#VALUE!</v>
      </c>
      <c r="X24" s="416" t="e">
        <f>SUM(T24:W24)</f>
        <v>#VALUE!</v>
      </c>
      <c r="Y24" s="379">
        <f t="shared" si="0"/>
        <v>0</v>
      </c>
      <c r="Z24" s="649"/>
      <c r="AA24" s="649"/>
      <c r="AD24" s="392"/>
    </row>
    <row r="25" spans="1:30" s="109" customFormat="1" x14ac:dyDescent="0.2">
      <c r="A25" s="386"/>
      <c r="B25" s="387" t="s">
        <v>153</v>
      </c>
      <c r="C25" s="420">
        <f t="shared" ref="C25:X25" si="2">SUM(C7:C24)</f>
        <v>3604.1377715053768</v>
      </c>
      <c r="D25" s="420">
        <f t="shared" si="2"/>
        <v>1027.44</v>
      </c>
      <c r="E25" s="420">
        <f t="shared" si="2"/>
        <v>513.72</v>
      </c>
      <c r="F25" s="420">
        <f t="shared" si="2"/>
        <v>961.08449999999993</v>
      </c>
      <c r="G25" s="420">
        <f t="shared" si="2"/>
        <v>10319.577634408603</v>
      </c>
      <c r="H25" s="420">
        <f t="shared" si="2"/>
        <v>369.23625000000004</v>
      </c>
      <c r="I25" s="420">
        <f t="shared" si="2"/>
        <v>0</v>
      </c>
      <c r="J25" s="420">
        <f t="shared" si="2"/>
        <v>16801.87</v>
      </c>
      <c r="K25" s="420">
        <f t="shared" si="2"/>
        <v>0</v>
      </c>
      <c r="L25" s="420">
        <f t="shared" si="2"/>
        <v>1010.04</v>
      </c>
      <c r="M25" s="420">
        <f t="shared" si="2"/>
        <v>0</v>
      </c>
      <c r="N25" s="420">
        <f t="shared" si="2"/>
        <v>20115.756249999999</v>
      </c>
      <c r="O25" s="420">
        <f t="shared" si="2"/>
        <v>0</v>
      </c>
      <c r="P25" s="420">
        <f t="shared" si="2"/>
        <v>17898.86</v>
      </c>
      <c r="Q25" s="420">
        <f t="shared" si="2"/>
        <v>0</v>
      </c>
      <c r="R25" s="420">
        <f t="shared" si="2"/>
        <v>16801.87</v>
      </c>
      <c r="S25" s="420">
        <f t="shared" si="2"/>
        <v>22018.04759408602</v>
      </c>
      <c r="T25" s="420">
        <f t="shared" si="2"/>
        <v>111441.64000000003</v>
      </c>
      <c r="U25" s="420">
        <f t="shared" si="2"/>
        <v>434.57</v>
      </c>
      <c r="V25" s="420">
        <f t="shared" si="2"/>
        <v>51.8</v>
      </c>
      <c r="W25" s="420" t="e">
        <f t="shared" si="2"/>
        <v>#VALUE!</v>
      </c>
      <c r="X25" s="420" t="e">
        <f t="shared" si="2"/>
        <v>#VALUE!</v>
      </c>
      <c r="Y25" s="388"/>
      <c r="Z25" s="389"/>
      <c r="AA25" s="388"/>
      <c r="AB25" s="388"/>
      <c r="AC25" s="388"/>
      <c r="AD25" s="389"/>
    </row>
    <row r="26" spans="1:30" s="5" customFormat="1" ht="15" x14ac:dyDescent="0.35">
      <c r="A26" s="682" t="s">
        <v>1408</v>
      </c>
      <c r="B26" s="730" t="s">
        <v>1409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31">
        <f>+AC27*12</f>
        <v>2829</v>
      </c>
      <c r="U26" s="79"/>
      <c r="V26" s="79"/>
      <c r="W26" s="79"/>
      <c r="X26" s="79"/>
      <c r="Y26" s="380"/>
      <c r="Z26" s="954" t="s">
        <v>512</v>
      </c>
      <c r="AA26" s="954"/>
      <c r="AB26" s="368"/>
      <c r="AC26" s="954" t="s">
        <v>519</v>
      </c>
      <c r="AD26" s="954"/>
    </row>
    <row r="27" spans="1:30" s="9" customFormat="1" x14ac:dyDescent="0.2">
      <c r="A27" s="652" t="s">
        <v>211</v>
      </c>
      <c r="B27" s="728" t="s">
        <v>1410</v>
      </c>
      <c r="C27" s="101"/>
      <c r="D27" s="349"/>
      <c r="E27" s="349"/>
      <c r="F27" s="104"/>
      <c r="G27" s="104"/>
      <c r="H27" s="104"/>
      <c r="I27" s="104">
        <f>+T27/2</f>
        <v>11711.565000000002</v>
      </c>
      <c r="J27" s="104"/>
      <c r="K27" s="104">
        <f>+T27/2</f>
        <v>11711.565000000002</v>
      </c>
      <c r="L27" s="104"/>
      <c r="M27" s="104"/>
      <c r="N27" s="104"/>
      <c r="O27" s="104"/>
      <c r="P27" s="104"/>
      <c r="Q27" s="104"/>
      <c r="R27" s="104"/>
      <c r="S27" s="104"/>
      <c r="T27" s="413">
        <f>(+Z$27+AC$27)*12</f>
        <v>23423.130000000005</v>
      </c>
      <c r="U27" s="414">
        <v>41.97</v>
      </c>
      <c r="V27" s="415"/>
      <c r="W27" s="319">
        <f>(+Z27*AA31)</f>
        <v>0</v>
      </c>
      <c r="X27" s="416">
        <f>SUM(T27:W27)</f>
        <v>23465.100000000006</v>
      </c>
      <c r="Y27" s="379">
        <f>SUM(C27:S27)-T27</f>
        <v>0</v>
      </c>
      <c r="Z27" s="324">
        <f>(20180.43/12+21007.83/12)/2</f>
        <v>1716.1775000000002</v>
      </c>
      <c r="AA27" s="380" t="s">
        <v>212</v>
      </c>
      <c r="AB27" s="368"/>
      <c r="AC27" s="324">
        <v>235.75</v>
      </c>
      <c r="AD27" s="324" t="s">
        <v>212</v>
      </c>
    </row>
    <row r="28" spans="1:30" s="9" customFormat="1" x14ac:dyDescent="0.2">
      <c r="A28" s="652" t="s">
        <v>211</v>
      </c>
      <c r="B28" s="728" t="s">
        <v>522</v>
      </c>
      <c r="C28" s="101"/>
      <c r="D28" s="349"/>
      <c r="E28" s="349"/>
      <c r="F28" s="104"/>
      <c r="G28" s="104"/>
      <c r="H28" s="104"/>
      <c r="I28" s="104">
        <f>+T28</f>
        <v>17485.75</v>
      </c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413">
        <f>(+Z$28+AC$28)*12</f>
        <v>17485.75</v>
      </c>
      <c r="U28" s="417">
        <v>41.97</v>
      </c>
      <c r="V28" s="415"/>
      <c r="W28" s="319">
        <f>(+Z27*AA31)</f>
        <v>0</v>
      </c>
      <c r="X28" s="416">
        <f>SUM(T28:W28)</f>
        <v>17527.72</v>
      </c>
      <c r="Y28" s="379">
        <f>SUM(C28:S28)-T28</f>
        <v>0</v>
      </c>
      <c r="Z28" s="324">
        <f>(15474.6/12+16109.06/12)/2</f>
        <v>1315.9858333333332</v>
      </c>
      <c r="AA28" s="380" t="s">
        <v>213</v>
      </c>
      <c r="AB28" s="368"/>
      <c r="AC28" s="324">
        <v>141.16</v>
      </c>
      <c r="AD28" s="324" t="s">
        <v>213</v>
      </c>
    </row>
    <row r="29" spans="1:30" x14ac:dyDescent="0.2">
      <c r="A29" s="682" t="s">
        <v>209</v>
      </c>
      <c r="B29" s="728" t="s">
        <v>1411</v>
      </c>
      <c r="C29" s="101"/>
      <c r="D29" s="415"/>
      <c r="E29" s="415"/>
      <c r="I29" s="102">
        <f>+T29</f>
        <v>8611.9599999999991</v>
      </c>
      <c r="T29" s="413">
        <f>(+Z$29+AC$29)*12</f>
        <v>8611.9599999999991</v>
      </c>
      <c r="U29" s="414">
        <v>41.97</v>
      </c>
      <c r="V29" s="415"/>
      <c r="W29" s="319">
        <f>(Z27*AA31)</f>
        <v>0</v>
      </c>
      <c r="X29" s="416">
        <f>SUM(T29:W29)</f>
        <v>8653.9299999999985</v>
      </c>
      <c r="Y29" s="379">
        <f>SUM(C29:S29)-T29</f>
        <v>0</v>
      </c>
      <c r="Z29" s="324">
        <f>(7399.47/12+7702.85/12)/2</f>
        <v>629.26333333333332</v>
      </c>
      <c r="AA29" s="380" t="s">
        <v>214</v>
      </c>
      <c r="AC29" s="324">
        <v>88.4</v>
      </c>
      <c r="AD29" s="324" t="s">
        <v>214</v>
      </c>
    </row>
    <row r="30" spans="1:30" ht="13.5" customHeight="1" x14ac:dyDescent="0.2">
      <c r="A30" s="2" t="s">
        <v>211</v>
      </c>
      <c r="B30" s="728" t="s">
        <v>1412</v>
      </c>
      <c r="C30" s="101"/>
      <c r="D30" s="415"/>
      <c r="E30" s="415"/>
      <c r="O30" s="102">
        <f>+T30/2</f>
        <v>11711.565000000002</v>
      </c>
      <c r="Q30" s="102">
        <f>+T30/2</f>
        <v>11711.565000000002</v>
      </c>
      <c r="T30" s="413">
        <f>(+Z$27+AC$27)*12</f>
        <v>23423.130000000005</v>
      </c>
      <c r="U30" s="414">
        <v>41.97</v>
      </c>
      <c r="V30" s="415"/>
      <c r="W30" s="319">
        <f>+Z27*AA31</f>
        <v>0</v>
      </c>
      <c r="X30" s="416">
        <f>SUM(T30:W30)</f>
        <v>23465.100000000006</v>
      </c>
      <c r="Y30" s="379">
        <f>SUM(C30:S30)-T30</f>
        <v>0</v>
      </c>
      <c r="Z30" s="649"/>
      <c r="AA30" s="390"/>
      <c r="AB30" s="391" t="s">
        <v>524</v>
      </c>
      <c r="AC30" s="649"/>
      <c r="AD30" s="392"/>
    </row>
    <row r="31" spans="1:30" s="109" customFormat="1" x14ac:dyDescent="0.2">
      <c r="A31" s="386"/>
      <c r="B31" s="387" t="s">
        <v>523</v>
      </c>
      <c r="C31" s="420">
        <f t="shared" ref="C31:X31" si="3">SUM(C27:C30)</f>
        <v>0</v>
      </c>
      <c r="D31" s="420">
        <f t="shared" si="3"/>
        <v>0</v>
      </c>
      <c r="E31" s="420">
        <f t="shared" si="3"/>
        <v>0</v>
      </c>
      <c r="F31" s="420">
        <f t="shared" si="3"/>
        <v>0</v>
      </c>
      <c r="G31" s="420">
        <f t="shared" si="3"/>
        <v>0</v>
      </c>
      <c r="H31" s="420">
        <f t="shared" si="3"/>
        <v>0</v>
      </c>
      <c r="I31" s="420">
        <f t="shared" si="3"/>
        <v>37809.275000000001</v>
      </c>
      <c r="J31" s="420">
        <f t="shared" si="3"/>
        <v>0</v>
      </c>
      <c r="K31" s="420">
        <f t="shared" si="3"/>
        <v>11711.565000000002</v>
      </c>
      <c r="L31" s="420">
        <f t="shared" si="3"/>
        <v>0</v>
      </c>
      <c r="M31" s="420">
        <f t="shared" si="3"/>
        <v>0</v>
      </c>
      <c r="N31" s="420">
        <f t="shared" si="3"/>
        <v>0</v>
      </c>
      <c r="O31" s="420">
        <f t="shared" si="3"/>
        <v>11711.565000000002</v>
      </c>
      <c r="P31" s="420">
        <f t="shared" si="3"/>
        <v>0</v>
      </c>
      <c r="Q31" s="420">
        <f t="shared" si="3"/>
        <v>11711.565000000002</v>
      </c>
      <c r="R31" s="420">
        <f t="shared" si="3"/>
        <v>0</v>
      </c>
      <c r="S31" s="420">
        <f t="shared" si="3"/>
        <v>0</v>
      </c>
      <c r="T31" s="420">
        <f t="shared" si="3"/>
        <v>72943.97</v>
      </c>
      <c r="U31" s="420">
        <f t="shared" si="3"/>
        <v>167.88</v>
      </c>
      <c r="V31" s="420">
        <f t="shared" si="3"/>
        <v>0</v>
      </c>
      <c r="W31" s="420">
        <f t="shared" si="3"/>
        <v>0</v>
      </c>
      <c r="X31" s="421">
        <f t="shared" si="3"/>
        <v>73111.850000000006</v>
      </c>
      <c r="Y31" s="388"/>
      <c r="AA31" s="390"/>
      <c r="AB31" s="391" t="s">
        <v>525</v>
      </c>
      <c r="AC31" s="368"/>
      <c r="AD31" s="392"/>
    </row>
    <row r="32" spans="1:30" s="5" customFormat="1" x14ac:dyDescent="0.2">
      <c r="A32" s="651"/>
      <c r="B32" s="100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380"/>
      <c r="Z32" s="649"/>
      <c r="AD32" s="333"/>
    </row>
    <row r="33" spans="1:30" x14ac:dyDescent="0.2">
      <c r="B33" s="9"/>
      <c r="C33" s="104"/>
      <c r="D33" s="319"/>
      <c r="E33" s="319"/>
      <c r="V33" s="415"/>
      <c r="W33" s="415"/>
      <c r="X33" s="413"/>
      <c r="Z33" s="392"/>
      <c r="AD33" s="392"/>
    </row>
    <row r="34" spans="1:30" s="398" customFormat="1" x14ac:dyDescent="0.2">
      <c r="A34" s="386"/>
      <c r="B34" s="395" t="s">
        <v>526</v>
      </c>
      <c r="C34" s="422">
        <f t="shared" ref="C34:T34" si="4">+C25+C31</f>
        <v>3604.1377715053768</v>
      </c>
      <c r="D34" s="422">
        <f t="shared" si="4"/>
        <v>1027.44</v>
      </c>
      <c r="E34" s="422">
        <f t="shared" si="4"/>
        <v>513.72</v>
      </c>
      <c r="F34" s="422">
        <f t="shared" si="4"/>
        <v>961.08449999999993</v>
      </c>
      <c r="G34" s="422">
        <f t="shared" si="4"/>
        <v>10319.577634408603</v>
      </c>
      <c r="H34" s="422">
        <f t="shared" si="4"/>
        <v>369.23625000000004</v>
      </c>
      <c r="I34" s="422">
        <f t="shared" si="4"/>
        <v>37809.275000000001</v>
      </c>
      <c r="J34" s="422">
        <f t="shared" si="4"/>
        <v>16801.87</v>
      </c>
      <c r="K34" s="422">
        <f t="shared" si="4"/>
        <v>11711.565000000002</v>
      </c>
      <c r="L34" s="422">
        <f t="shared" si="4"/>
        <v>1010.04</v>
      </c>
      <c r="M34" s="422">
        <f t="shared" si="4"/>
        <v>0</v>
      </c>
      <c r="N34" s="422">
        <f t="shared" si="4"/>
        <v>20115.756249999999</v>
      </c>
      <c r="O34" s="422">
        <f t="shared" si="4"/>
        <v>11711.565000000002</v>
      </c>
      <c r="P34" s="422">
        <f t="shared" si="4"/>
        <v>17898.86</v>
      </c>
      <c r="Q34" s="422">
        <f t="shared" si="4"/>
        <v>11711.565000000002</v>
      </c>
      <c r="R34" s="422">
        <f t="shared" si="4"/>
        <v>16801.87</v>
      </c>
      <c r="S34" s="422">
        <f t="shared" si="4"/>
        <v>22018.04759408602</v>
      </c>
      <c r="T34" s="422">
        <f t="shared" si="4"/>
        <v>184385.61000000004</v>
      </c>
      <c r="U34" s="422" t="e">
        <f>+U25+U31+#REF!</f>
        <v>#REF!</v>
      </c>
      <c r="V34" s="422" t="e">
        <f>+V25+V31+#REF!</f>
        <v>#REF!</v>
      </c>
      <c r="W34" s="422" t="e">
        <f>+W25+W31+#REF!</f>
        <v>#VALUE!</v>
      </c>
      <c r="X34" s="422" t="e">
        <f>+X25+X31+#REF!</f>
        <v>#VALUE!</v>
      </c>
      <c r="Y34" s="396"/>
      <c r="Z34" s="397"/>
      <c r="AA34" s="396"/>
      <c r="AB34" s="396"/>
      <c r="AC34" s="396"/>
      <c r="AD34" s="397"/>
    </row>
    <row r="35" spans="1:30" x14ac:dyDescent="0.2">
      <c r="C35" s="101"/>
      <c r="D35" s="319"/>
      <c r="E35" s="319"/>
      <c r="T35" s="357"/>
      <c r="U35" s="414"/>
      <c r="V35" s="102"/>
      <c r="W35" s="102"/>
      <c r="X35" s="413"/>
      <c r="Z35" s="392"/>
      <c r="AD35" s="392"/>
    </row>
  </sheetData>
  <mergeCells count="4">
    <mergeCell ref="B2:X2"/>
    <mergeCell ref="Z8:AA8"/>
    <mergeCell ref="Z26:AA26"/>
    <mergeCell ref="AC26:AD26"/>
  </mergeCells>
  <printOptions headings="1" gridLines="1"/>
  <pageMargins left="0.7" right="0.7" top="0.75" bottom="0.75" header="0.3" footer="0.3"/>
  <pageSetup paperSize="5" scale="6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>
    <pageSetUpPr fitToPage="1"/>
  </sheetPr>
  <dimension ref="A1:AE35"/>
  <sheetViews>
    <sheetView workbookViewId="0">
      <pane xSplit="2" ySplit="6" topLeftCell="C7" activePane="bottomRight" state="frozen"/>
      <selection activeCell="B17" sqref="B17"/>
      <selection pane="topRight" activeCell="B17" sqref="B17"/>
      <selection pane="bottomLeft" activeCell="B17" sqref="B17"/>
      <selection pane="bottomRight" activeCell="G25" sqref="G25"/>
    </sheetView>
  </sheetViews>
  <sheetFormatPr defaultRowHeight="12.75" x14ac:dyDescent="0.2"/>
  <cols>
    <col min="1" max="1" width="6" style="2" customWidth="1"/>
    <col min="2" max="2" width="28.28515625" customWidth="1"/>
    <col min="3" max="3" width="11.140625" style="102" bestFit="1" customWidth="1"/>
    <col min="4" max="4" width="8" style="102" bestFit="1" customWidth="1"/>
    <col min="5" max="5" width="7.7109375" style="102" bestFit="1" customWidth="1"/>
    <col min="6" max="6" width="8.7109375" style="102" bestFit="1" customWidth="1"/>
    <col min="7" max="7" width="7.7109375" style="102" bestFit="1" customWidth="1"/>
    <col min="8" max="8" width="10.28515625" style="102" bestFit="1" customWidth="1"/>
    <col min="9" max="9" width="7.7109375" style="102" bestFit="1" customWidth="1"/>
    <col min="10" max="10" width="8.5703125" style="102" bestFit="1" customWidth="1"/>
    <col min="11" max="12" width="8.85546875" style="102" bestFit="1" customWidth="1"/>
    <col min="13" max="14" width="11" style="102" bestFit="1" customWidth="1"/>
    <col min="15" max="16" width="9.28515625" style="102" bestFit="1" customWidth="1"/>
    <col min="17" max="18" width="7.7109375" style="102" bestFit="1" customWidth="1"/>
    <col min="19" max="20" width="9.28515625" style="102" bestFit="1" customWidth="1"/>
    <col min="21" max="21" width="8.7109375" style="400" bestFit="1" customWidth="1"/>
    <col min="22" max="22" width="10.28515625" style="400" hidden="1" customWidth="1"/>
    <col min="23" max="24" width="10.5703125" style="296" hidden="1" customWidth="1"/>
    <col min="25" max="25" width="13.28515625" style="401" hidden="1" customWidth="1"/>
    <col min="26" max="26" width="5.85546875" style="368" customWidth="1"/>
    <col min="27" max="27" width="10.5703125" style="369" bestFit="1" customWidth="1"/>
    <col min="28" max="28" width="11.7109375" style="368" bestFit="1" customWidth="1"/>
    <col min="29" max="29" width="0.28515625" style="368" customWidth="1"/>
    <col min="30" max="30" width="10.5703125" style="368" bestFit="1" customWidth="1"/>
    <col min="31" max="31" width="10.85546875" style="369" bestFit="1" customWidth="1"/>
  </cols>
  <sheetData>
    <row r="1" spans="1:31" ht="18" customHeight="1" x14ac:dyDescent="0.25">
      <c r="B1" s="158">
        <v>43256</v>
      </c>
      <c r="C1" s="399"/>
    </row>
    <row r="2" spans="1:31" s="87" customFormat="1" ht="37.5" x14ac:dyDescent="0.5">
      <c r="A2" s="370"/>
      <c r="B2" s="953" t="s">
        <v>618</v>
      </c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371"/>
      <c r="AA2" s="372"/>
      <c r="AB2" s="371"/>
      <c r="AC2" s="371"/>
      <c r="AD2" s="371"/>
      <c r="AE2" s="372"/>
    </row>
    <row r="3" spans="1:31" ht="18" x14ac:dyDescent="0.25">
      <c r="B3" s="75"/>
      <c r="C3" s="402"/>
      <c r="D3" s="402"/>
      <c r="E3" s="402"/>
      <c r="F3" s="402"/>
      <c r="G3" s="402"/>
      <c r="H3" s="402"/>
      <c r="I3" s="402"/>
      <c r="J3" s="402"/>
      <c r="K3" s="403" t="s">
        <v>498</v>
      </c>
      <c r="L3" s="403" t="s">
        <v>498</v>
      </c>
      <c r="M3" s="403" t="s">
        <v>499</v>
      </c>
      <c r="N3" s="403" t="s">
        <v>499</v>
      </c>
      <c r="O3" s="402"/>
      <c r="P3" s="403" t="s">
        <v>129</v>
      </c>
      <c r="Q3" s="402"/>
      <c r="R3" s="403" t="s">
        <v>120</v>
      </c>
      <c r="S3" s="403" t="s">
        <v>500</v>
      </c>
      <c r="T3" s="403" t="s">
        <v>216</v>
      </c>
      <c r="U3" s="402"/>
      <c r="V3" s="402"/>
      <c r="W3" s="402"/>
      <c r="X3" s="402"/>
    </row>
    <row r="4" spans="1:31" s="91" customFormat="1" ht="11.25" x14ac:dyDescent="0.2">
      <c r="C4" s="403" t="s">
        <v>180</v>
      </c>
      <c r="D4" s="403" t="s">
        <v>114</v>
      </c>
      <c r="E4" s="403" t="s">
        <v>115</v>
      </c>
      <c r="F4" s="403" t="s">
        <v>182</v>
      </c>
      <c r="G4" s="403" t="s">
        <v>235</v>
      </c>
      <c r="H4" s="403" t="s">
        <v>116</v>
      </c>
      <c r="I4" s="403" t="s">
        <v>117</v>
      </c>
      <c r="J4" s="403" t="s">
        <v>501</v>
      </c>
      <c r="K4" s="403" t="s">
        <v>502</v>
      </c>
      <c r="L4" s="403" t="s">
        <v>503</v>
      </c>
      <c r="M4" s="403" t="s">
        <v>502</v>
      </c>
      <c r="N4" s="403" t="s">
        <v>503</v>
      </c>
      <c r="O4" s="403" t="s">
        <v>129</v>
      </c>
      <c r="P4" s="403" t="s">
        <v>503</v>
      </c>
      <c r="Q4" s="403" t="s">
        <v>120</v>
      </c>
      <c r="R4" s="403" t="s">
        <v>503</v>
      </c>
      <c r="S4" s="403" t="s">
        <v>119</v>
      </c>
      <c r="T4" s="403" t="s">
        <v>119</v>
      </c>
      <c r="U4" s="404"/>
      <c r="V4" s="404"/>
      <c r="W4" s="405"/>
      <c r="X4" s="405"/>
      <c r="Y4" s="404"/>
      <c r="Z4" s="373"/>
      <c r="AA4" s="374"/>
      <c r="AB4" s="373"/>
      <c r="AC4" s="373"/>
      <c r="AD4" s="373"/>
      <c r="AE4" s="374"/>
    </row>
    <row r="5" spans="1:31" s="3" customFormat="1" x14ac:dyDescent="0.2">
      <c r="C5" s="406">
        <v>111</v>
      </c>
      <c r="D5" s="406">
        <v>118</v>
      </c>
      <c r="E5" s="406">
        <v>124</v>
      </c>
      <c r="F5" s="406">
        <v>122</v>
      </c>
      <c r="G5" s="406"/>
      <c r="H5" s="406"/>
      <c r="I5" s="406">
        <v>222</v>
      </c>
      <c r="J5" s="406">
        <v>232</v>
      </c>
      <c r="K5" s="406">
        <v>240</v>
      </c>
      <c r="L5" s="406">
        <v>240</v>
      </c>
      <c r="M5" s="406">
        <v>241</v>
      </c>
      <c r="N5" s="406">
        <v>241</v>
      </c>
      <c r="O5" s="406">
        <v>261</v>
      </c>
      <c r="P5" s="406">
        <v>261</v>
      </c>
      <c r="Q5" s="406">
        <v>271</v>
      </c>
      <c r="R5" s="406">
        <v>271</v>
      </c>
      <c r="S5" s="407" t="s">
        <v>504</v>
      </c>
      <c r="T5" s="407" t="s">
        <v>505</v>
      </c>
      <c r="U5" s="408" t="s">
        <v>190</v>
      </c>
      <c r="V5" s="409" t="s">
        <v>506</v>
      </c>
      <c r="W5" s="409" t="s">
        <v>507</v>
      </c>
      <c r="X5" s="409" t="s">
        <v>508</v>
      </c>
      <c r="Y5" s="408" t="s">
        <v>509</v>
      </c>
      <c r="Z5" s="375"/>
      <c r="AA5" s="376"/>
      <c r="AB5" s="375"/>
      <c r="AC5" s="375"/>
      <c r="AD5" s="375"/>
      <c r="AE5" s="493"/>
    </row>
    <row r="6" spans="1:31" s="96" customFormat="1" ht="13.5" thickBot="1" x14ac:dyDescent="0.25">
      <c r="A6" s="97"/>
      <c r="B6" s="96" t="s">
        <v>208</v>
      </c>
      <c r="C6" s="480">
        <v>10146</v>
      </c>
      <c r="D6" s="480">
        <v>10380</v>
      </c>
      <c r="E6" s="480">
        <v>10428</v>
      </c>
      <c r="F6" s="480">
        <v>10466</v>
      </c>
      <c r="G6" s="480">
        <v>10192</v>
      </c>
      <c r="H6" s="480">
        <v>10500</v>
      </c>
      <c r="I6" s="480">
        <v>10684</v>
      </c>
      <c r="J6" s="480">
        <v>10732</v>
      </c>
      <c r="K6" s="480">
        <v>10797</v>
      </c>
      <c r="L6" s="480">
        <v>10799</v>
      </c>
      <c r="M6" s="480">
        <v>10798</v>
      </c>
      <c r="N6" s="480">
        <v>10800</v>
      </c>
      <c r="O6" s="480">
        <v>10842</v>
      </c>
      <c r="P6" s="480">
        <v>10844</v>
      </c>
      <c r="Q6" s="480">
        <v>10910</v>
      </c>
      <c r="R6" s="480">
        <v>10912</v>
      </c>
      <c r="S6" s="480">
        <v>11186</v>
      </c>
      <c r="T6" s="480">
        <v>11187</v>
      </c>
      <c r="U6" s="410" t="s">
        <v>146</v>
      </c>
      <c r="V6" s="411" t="s">
        <v>510</v>
      </c>
      <c r="W6" s="411" t="s">
        <v>511</v>
      </c>
      <c r="X6" s="411" t="s">
        <v>511</v>
      </c>
      <c r="Y6" s="412" t="s">
        <v>146</v>
      </c>
      <c r="Z6" s="377"/>
      <c r="AA6" s="378"/>
      <c r="AB6" s="377"/>
      <c r="AC6" s="377"/>
      <c r="AD6" s="377"/>
      <c r="AE6" s="378"/>
    </row>
    <row r="7" spans="1:31" x14ac:dyDescent="0.2">
      <c r="A7" s="2" t="s">
        <v>211</v>
      </c>
      <c r="B7" s="40" t="s">
        <v>591</v>
      </c>
      <c r="C7" s="101">
        <f>+U7*(2/8)</f>
        <v>4929.4637500000008</v>
      </c>
      <c r="D7" s="319"/>
      <c r="E7"/>
      <c r="G7" s="101">
        <f>+U7*6.25%</f>
        <v>1232.3659375000002</v>
      </c>
      <c r="H7" s="101">
        <f>+U7*(5/8)-G7</f>
        <v>11091.293437500002</v>
      </c>
      <c r="T7" s="102">
        <f>+U7*(0.125)</f>
        <v>2464.7318750000004</v>
      </c>
      <c r="U7" s="413">
        <f>(+AA10+AA14+AD10)*12</f>
        <v>19717.855000000003</v>
      </c>
      <c r="V7" s="414">
        <v>36.619999999999997</v>
      </c>
      <c r="W7" s="415"/>
      <c r="X7" s="415" t="e">
        <f>(+AA10*#REF!)</f>
        <v>#REF!</v>
      </c>
      <c r="Y7" s="416" t="e">
        <f>SUM(U7:X7)</f>
        <v>#REF!</v>
      </c>
      <c r="Z7" s="379">
        <f t="shared" ref="Z7:Z24" si="0">SUM(C7:T7)-U7</f>
        <v>0</v>
      </c>
      <c r="AA7"/>
      <c r="AB7"/>
      <c r="AC7"/>
      <c r="AD7"/>
      <c r="AE7" s="392"/>
    </row>
    <row r="8" spans="1:31" s="9" customFormat="1" ht="15" x14ac:dyDescent="0.35">
      <c r="A8" s="10" t="s">
        <v>211</v>
      </c>
      <c r="B8" s="22" t="s">
        <v>640</v>
      </c>
      <c r="C8" s="101"/>
      <c r="D8" s="319"/>
      <c r="E8" s="319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>
        <f>+U8</f>
        <v>19717.855000000003</v>
      </c>
      <c r="U8" s="413">
        <f>(+AA10+AA14+AD10)*12</f>
        <v>19717.855000000003</v>
      </c>
      <c r="V8" s="417">
        <v>36.619999999999997</v>
      </c>
      <c r="W8" s="319"/>
      <c r="X8" s="319" t="e">
        <f>(+AA10*#REF!)</f>
        <v>#REF!</v>
      </c>
      <c r="Y8" s="416" t="e">
        <f>SUM(U8:X8)</f>
        <v>#REF!</v>
      </c>
      <c r="Z8" s="379">
        <f t="shared" si="0"/>
        <v>0</v>
      </c>
      <c r="AA8" s="954" t="s">
        <v>512</v>
      </c>
      <c r="AB8" s="954"/>
      <c r="AC8" s="380"/>
      <c r="AD8" s="481" t="s">
        <v>513</v>
      </c>
      <c r="AE8" s="392"/>
    </row>
    <row r="9" spans="1:31" s="9" customFormat="1" x14ac:dyDescent="0.2">
      <c r="A9" s="10"/>
      <c r="B9" s="498" t="s">
        <v>641</v>
      </c>
      <c r="C9" s="319"/>
      <c r="D9" s="319"/>
      <c r="E9" s="497" t="s">
        <v>642</v>
      </c>
      <c r="F9" s="496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413">
        <v>0</v>
      </c>
      <c r="V9" s="414"/>
      <c r="W9" s="319"/>
      <c r="X9" s="319"/>
      <c r="Y9" s="416"/>
      <c r="Z9" s="379">
        <f>SUM(C9:T9)-U9</f>
        <v>0</v>
      </c>
      <c r="AA9" s="3" t="s">
        <v>527</v>
      </c>
      <c r="AC9" s="368"/>
      <c r="AD9" s="479"/>
      <c r="AE9" s="392"/>
    </row>
    <row r="10" spans="1:31" s="9" customFormat="1" x14ac:dyDescent="0.2">
      <c r="A10" s="10" t="s">
        <v>209</v>
      </c>
      <c r="B10" s="22" t="s">
        <v>592</v>
      </c>
      <c r="C10" s="101"/>
      <c r="D10" s="319"/>
      <c r="E10" s="319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>
        <f>+U10</f>
        <v>7060.1249999999982</v>
      </c>
      <c r="R10" s="104"/>
      <c r="S10" s="104"/>
      <c r="T10" s="104"/>
      <c r="U10" s="413">
        <f>(+AA12+AA16+AD12)*12</f>
        <v>7060.1249999999982</v>
      </c>
      <c r="V10" s="417">
        <v>37.619999999999997</v>
      </c>
      <c r="W10" s="319"/>
      <c r="X10" s="319" t="e">
        <f>(+AA11*#REF!)</f>
        <v>#REF!</v>
      </c>
      <c r="Y10" s="416" t="e">
        <f>SUM(U10:X10)</f>
        <v>#REF!</v>
      </c>
      <c r="Z10" s="379">
        <f>SUM(C10:T10)-U10</f>
        <v>0</v>
      </c>
      <c r="AA10" s="324">
        <f>(18232.31/12+17892.36/12)/2</f>
        <v>1505.1945833333334</v>
      </c>
      <c r="AB10" s="380" t="s">
        <v>212</v>
      </c>
      <c r="AC10" s="368"/>
      <c r="AD10" s="482">
        <v>113.15</v>
      </c>
      <c r="AE10" s="392">
        <f>+AA10*12</f>
        <v>18062.334999999999</v>
      </c>
    </row>
    <row r="11" spans="1:31" s="9" customFormat="1" x14ac:dyDescent="0.2">
      <c r="A11" s="10" t="s">
        <v>209</v>
      </c>
      <c r="B11" s="22" t="s">
        <v>593</v>
      </c>
      <c r="C11" s="101"/>
      <c r="D11" s="319"/>
      <c r="E11" s="319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>
        <f>+U11</f>
        <v>7060.1249999999982</v>
      </c>
      <c r="R11" s="104"/>
      <c r="S11" s="104"/>
      <c r="T11" s="104"/>
      <c r="U11" s="413">
        <f>(+AA12+AA16+AD12)*12</f>
        <v>7060.1249999999982</v>
      </c>
      <c r="V11" s="414">
        <v>13.08</v>
      </c>
      <c r="W11" s="319">
        <f>4.8</f>
        <v>4.8</v>
      </c>
      <c r="X11" s="415" t="e">
        <f>+AA12*#REF!</f>
        <v>#REF!</v>
      </c>
      <c r="Y11" s="416" t="e">
        <f t="shared" ref="Y11:Y20" si="1">SUM(U11:X11)</f>
        <v>#REF!</v>
      </c>
      <c r="Z11" s="379">
        <f>SUM(C11:T11)-U11</f>
        <v>0</v>
      </c>
      <c r="AA11" s="324">
        <f>(13980.75/12+13720.07/12)/2</f>
        <v>1154.2008333333333</v>
      </c>
      <c r="AB11" s="380" t="s">
        <v>213</v>
      </c>
      <c r="AC11"/>
      <c r="AD11" s="482">
        <v>58.7</v>
      </c>
      <c r="AE11" s="392">
        <f>+AA11*12</f>
        <v>13850.41</v>
      </c>
    </row>
    <row r="12" spans="1:31" s="9" customFormat="1" x14ac:dyDescent="0.2">
      <c r="A12" s="10" t="s">
        <v>598</v>
      </c>
      <c r="B12" s="22" t="s">
        <v>594</v>
      </c>
      <c r="C12" s="101"/>
      <c r="D12" s="319"/>
      <c r="E12" s="319"/>
      <c r="F12" s="104"/>
      <c r="G12" s="104"/>
      <c r="H12" s="104"/>
      <c r="I12" s="104"/>
      <c r="J12" s="104"/>
      <c r="K12" s="104"/>
      <c r="L12" s="104"/>
      <c r="M12" s="104"/>
      <c r="N12" s="104"/>
      <c r="O12" s="104">
        <f>+U12*(0.5/5)</f>
        <v>165.55200000000002</v>
      </c>
      <c r="P12" s="104"/>
      <c r="Q12" s="104"/>
      <c r="R12" s="104"/>
      <c r="S12" s="104">
        <f>+U12*(4.5/5)</f>
        <v>1489.9680000000001</v>
      </c>
      <c r="T12" s="104"/>
      <c r="U12" s="413">
        <f>(+AA14+AD10)*12</f>
        <v>1655.52</v>
      </c>
      <c r="V12" s="414"/>
      <c r="W12" s="319"/>
      <c r="X12" s="415"/>
      <c r="Y12" s="416"/>
      <c r="Z12" s="379">
        <f>SUM(C12:T12)-U12</f>
        <v>0</v>
      </c>
      <c r="AA12" s="324">
        <f>(6685.17/12+6560.52/12)/2</f>
        <v>551.90374999999995</v>
      </c>
      <c r="AB12" s="380" t="s">
        <v>214</v>
      </c>
      <c r="AC12" s="380"/>
      <c r="AD12" s="482">
        <v>28.63</v>
      </c>
      <c r="AE12" s="392">
        <f>+AA12*12</f>
        <v>6622.8449999999993</v>
      </c>
    </row>
    <row r="13" spans="1:31" x14ac:dyDescent="0.2">
      <c r="A13" s="10" t="s">
        <v>210</v>
      </c>
      <c r="B13" s="40" t="s">
        <v>643</v>
      </c>
      <c r="C13" s="101">
        <f>+U13*(1.5/8)</f>
        <v>2766.3093749999998</v>
      </c>
      <c r="D13" s="319"/>
      <c r="E13" s="319"/>
      <c r="G13" s="101">
        <f>+U13*6.25%</f>
        <v>922.10312499999998</v>
      </c>
      <c r="H13" s="101">
        <f>+U13*(5/8)-G13</f>
        <v>8298.9281250000004</v>
      </c>
      <c r="T13" s="102">
        <f>+U13*(1.5/8)</f>
        <v>2766.3093749999998</v>
      </c>
      <c r="U13" s="418">
        <f>(AA11+$AA$15+AD11)*12</f>
        <v>14753.65</v>
      </c>
      <c r="V13" s="414">
        <v>36.619999999999997</v>
      </c>
      <c r="W13" s="415"/>
      <c r="X13" s="415" t="e">
        <f>+AA10*#REF!</f>
        <v>#REF!</v>
      </c>
      <c r="Y13" s="416" t="e">
        <f t="shared" si="1"/>
        <v>#REF!</v>
      </c>
      <c r="Z13" s="379">
        <f>SUM(C13:T13)-U13</f>
        <v>0</v>
      </c>
      <c r="AA13"/>
      <c r="AB13"/>
      <c r="AC13"/>
      <c r="AD13"/>
      <c r="AE13" s="392"/>
    </row>
    <row r="14" spans="1:31" x14ac:dyDescent="0.2">
      <c r="A14" s="10" t="s">
        <v>644</v>
      </c>
      <c r="B14" s="22" t="s">
        <v>595</v>
      </c>
      <c r="C14" s="496" t="s">
        <v>645</v>
      </c>
      <c r="D14" s="497"/>
      <c r="E14" s="497"/>
      <c r="F14" s="499"/>
      <c r="G14" s="499"/>
      <c r="Q14" s="102">
        <f>+U14</f>
        <v>8342.3791666666657</v>
      </c>
      <c r="U14" s="413">
        <f>((+$AA$11+$AA$15+AD11)*2)+((AA12+AD12+AA16)*10)</f>
        <v>8342.3791666666657</v>
      </c>
      <c r="V14" s="414">
        <v>36.619999999999997</v>
      </c>
      <c r="W14" s="415"/>
      <c r="X14" s="415" t="e">
        <f>+AA10*#REF!</f>
        <v>#REF!</v>
      </c>
      <c r="Y14" s="416" t="e">
        <f t="shared" si="1"/>
        <v>#REF!</v>
      </c>
      <c r="Z14" s="379">
        <f t="shared" si="0"/>
        <v>0</v>
      </c>
      <c r="AA14" s="381">
        <f>24.63+0.15+0.03</f>
        <v>24.81</v>
      </c>
      <c r="AB14" s="382" t="s">
        <v>514</v>
      </c>
      <c r="AD14" s="324">
        <f>(17304.02/12+17892.36/12)/2</f>
        <v>1466.5158333333334</v>
      </c>
      <c r="AE14" s="392"/>
    </row>
    <row r="15" spans="1:31" x14ac:dyDescent="0.2">
      <c r="A15" s="10" t="s">
        <v>598</v>
      </c>
      <c r="B15" s="40" t="s">
        <v>596</v>
      </c>
      <c r="C15" s="104"/>
      <c r="D15" s="319"/>
      <c r="E15" s="319"/>
      <c r="S15" s="102">
        <f>+U15</f>
        <v>1655.52</v>
      </c>
      <c r="U15" s="413">
        <f>(+$AA$14+AD10)*12</f>
        <v>1655.52</v>
      </c>
      <c r="V15" s="414">
        <v>36.619999999999997</v>
      </c>
      <c r="W15" s="319"/>
      <c r="X15" s="319" t="e">
        <f>+AA10*#REF!</f>
        <v>#REF!</v>
      </c>
      <c r="Y15" s="416" t="e">
        <f t="shared" si="1"/>
        <v>#REF!</v>
      </c>
      <c r="Z15" s="379">
        <f t="shared" si="0"/>
        <v>0</v>
      </c>
      <c r="AA15" s="381">
        <f>16.39+0.15+0.03</f>
        <v>16.57</v>
      </c>
      <c r="AB15" s="382" t="s">
        <v>515</v>
      </c>
      <c r="AD15" s="324">
        <f>13268.93/12</f>
        <v>1105.7441666666666</v>
      </c>
      <c r="AE15" s="392"/>
    </row>
    <row r="16" spans="1:31" s="9" customFormat="1" x14ac:dyDescent="0.2">
      <c r="A16" s="10" t="s">
        <v>209</v>
      </c>
      <c r="B16" s="40" t="s">
        <v>233</v>
      </c>
      <c r="C16" s="101"/>
      <c r="D16" s="319"/>
      <c r="E16" s="319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>
        <f>+U16</f>
        <v>7060.1249999999982</v>
      </c>
      <c r="R16" s="104"/>
      <c r="S16" s="104"/>
      <c r="T16" s="104"/>
      <c r="U16" s="413">
        <f>(+AA12+AA16+AD12)*12</f>
        <v>7060.1249999999982</v>
      </c>
      <c r="V16" s="414">
        <v>13.08</v>
      </c>
      <c r="W16" s="319"/>
      <c r="X16" s="319" t="e">
        <f>+AA12*#REF!</f>
        <v>#REF!</v>
      </c>
      <c r="Y16" s="416" t="e">
        <f t="shared" si="1"/>
        <v>#REF!</v>
      </c>
      <c r="Z16" s="379">
        <f t="shared" si="0"/>
        <v>0</v>
      </c>
      <c r="AA16" s="381">
        <f>7.63+0.15+0.03</f>
        <v>7.8100000000000005</v>
      </c>
      <c r="AB16" s="382" t="s">
        <v>516</v>
      </c>
      <c r="AC16" s="368"/>
      <c r="AD16" s="324">
        <f>6344.8/12</f>
        <v>528.73333333333335</v>
      </c>
      <c r="AE16" s="392"/>
    </row>
    <row r="17" spans="1:31" s="9" customFormat="1" x14ac:dyDescent="0.2">
      <c r="A17" s="10" t="s">
        <v>209</v>
      </c>
      <c r="B17" s="40" t="s">
        <v>646</v>
      </c>
      <c r="C17" s="101"/>
      <c r="D17" s="319"/>
      <c r="E17" s="319"/>
      <c r="F17" s="104"/>
      <c r="G17" s="104"/>
      <c r="H17" s="104"/>
      <c r="I17" s="104">
        <f>+U17*(4/8)</f>
        <v>3530.0624999999991</v>
      </c>
      <c r="J17" s="104"/>
      <c r="K17" s="104"/>
      <c r="L17" s="104"/>
      <c r="M17" s="104"/>
      <c r="N17" s="104"/>
      <c r="O17" s="104">
        <f>+U17*(2/8)</f>
        <v>1765.0312499999995</v>
      </c>
      <c r="P17" s="104"/>
      <c r="Q17" s="104"/>
      <c r="R17" s="104"/>
      <c r="S17" s="104">
        <f>+U17*(2/8)</f>
        <v>1765.0312499999995</v>
      </c>
      <c r="T17" s="104"/>
      <c r="U17" s="413">
        <f>(+AA12+AA16+AD12)*12</f>
        <v>7060.1249999999982</v>
      </c>
      <c r="V17" s="414">
        <v>13.08</v>
      </c>
      <c r="W17" s="319"/>
      <c r="X17" s="319" t="e">
        <f>+AA12*#REF!</f>
        <v>#REF!</v>
      </c>
      <c r="Y17" s="416" t="e">
        <f t="shared" si="1"/>
        <v>#REF!</v>
      </c>
      <c r="Z17" s="379">
        <f t="shared" si="0"/>
        <v>0</v>
      </c>
      <c r="AD17" s="368"/>
      <c r="AE17" s="392"/>
    </row>
    <row r="18" spans="1:31" s="9" customFormat="1" x14ac:dyDescent="0.2">
      <c r="A18" s="10" t="s">
        <v>210</v>
      </c>
      <c r="B18" s="40" t="s">
        <v>647</v>
      </c>
      <c r="C18" s="500" t="s">
        <v>648</v>
      </c>
      <c r="D18" s="497"/>
      <c r="E18" s="497"/>
      <c r="F18" s="104"/>
      <c r="G18" s="104"/>
      <c r="H18" s="104"/>
      <c r="I18" s="104"/>
      <c r="J18" s="104"/>
      <c r="K18" s="104"/>
      <c r="L18" s="104"/>
      <c r="M18" s="104"/>
      <c r="N18" s="104"/>
      <c r="O18" s="104">
        <f>+U18</f>
        <v>9835.7666666666664</v>
      </c>
      <c r="P18" s="104"/>
      <c r="Q18" s="104"/>
      <c r="R18" s="104"/>
      <c r="S18" s="104"/>
      <c r="T18" s="104"/>
      <c r="U18" s="413">
        <f>(+AA11+AA15+AD11)*8</f>
        <v>9835.7666666666664</v>
      </c>
      <c r="V18" s="414">
        <v>29.43</v>
      </c>
      <c r="W18" s="319"/>
      <c r="X18" s="319" t="e">
        <f>+AA11*#REF!</f>
        <v>#REF!</v>
      </c>
      <c r="Y18" s="416" t="e">
        <f t="shared" si="1"/>
        <v>#REF!</v>
      </c>
      <c r="Z18" s="379">
        <f t="shared" si="0"/>
        <v>0</v>
      </c>
      <c r="AD18" s="368"/>
      <c r="AE18" s="392"/>
    </row>
    <row r="19" spans="1:31" x14ac:dyDescent="0.2">
      <c r="A19" s="10" t="s">
        <v>210</v>
      </c>
      <c r="B19" s="160" t="s">
        <v>517</v>
      </c>
      <c r="C19" s="101"/>
      <c r="D19" s="415"/>
      <c r="E19" s="415"/>
      <c r="M19" s="102">
        <f>+U19</f>
        <v>14753.65</v>
      </c>
      <c r="U19" s="419">
        <f>(+AA11+AA15+AD11)*12</f>
        <v>14753.65</v>
      </c>
      <c r="V19" s="414">
        <v>29.43</v>
      </c>
      <c r="W19" s="415"/>
      <c r="X19" s="415" t="e">
        <f>+AA11*#REF!</f>
        <v>#REF!</v>
      </c>
      <c r="Y19" s="416" t="e">
        <f t="shared" si="1"/>
        <v>#REF!</v>
      </c>
      <c r="Z19" s="379">
        <f t="shared" si="0"/>
        <v>0</v>
      </c>
      <c r="AA19" s="383">
        <f>+AA10+AA14</f>
        <v>1530.0045833333334</v>
      </c>
      <c r="AB19" s="9"/>
      <c r="AC19" s="380"/>
      <c r="AD19" s="393">
        <f>+AD27+AA27</f>
        <v>1750.3345833333335</v>
      </c>
      <c r="AE19" s="392"/>
    </row>
    <row r="20" spans="1:31" x14ac:dyDescent="0.2">
      <c r="A20" s="10" t="s">
        <v>210</v>
      </c>
      <c r="B20" s="160" t="s">
        <v>518</v>
      </c>
      <c r="C20" s="101"/>
      <c r="D20" s="415"/>
      <c r="E20" s="415"/>
      <c r="K20" s="102">
        <f>+U20</f>
        <v>14753.65</v>
      </c>
      <c r="U20" s="419">
        <f>(+AA11+AA15+AD11)*12</f>
        <v>14753.65</v>
      </c>
      <c r="V20" s="414">
        <v>29.43</v>
      </c>
      <c r="W20" s="319">
        <f>13+34</f>
        <v>47</v>
      </c>
      <c r="X20" s="415" t="e">
        <f>+AA11*#REF!</f>
        <v>#REF!</v>
      </c>
      <c r="Y20" s="416" t="e">
        <f t="shared" si="1"/>
        <v>#REF!</v>
      </c>
      <c r="Z20" s="379">
        <f t="shared" si="0"/>
        <v>0</v>
      </c>
      <c r="AA20" s="384">
        <f>+AA11+AA15</f>
        <v>1170.7708333333333</v>
      </c>
      <c r="AB20"/>
      <c r="AD20" s="394">
        <f>+AD28+AA28</f>
        <v>1309.6508333333334</v>
      </c>
      <c r="AE20" s="392"/>
    </row>
    <row r="21" spans="1:31" s="9" customFormat="1" x14ac:dyDescent="0.2">
      <c r="A21" s="10" t="s">
        <v>650</v>
      </c>
      <c r="B21" s="40" t="s">
        <v>649</v>
      </c>
      <c r="C21" s="101"/>
      <c r="D21" s="319"/>
      <c r="E21" s="319"/>
      <c r="F21" s="104"/>
      <c r="G21" s="104"/>
      <c r="H21" s="104"/>
      <c r="I21" s="104"/>
      <c r="J21" s="104"/>
      <c r="K21" s="104"/>
      <c r="L21" s="104"/>
      <c r="M21" s="104"/>
      <c r="N21" s="104"/>
      <c r="O21" s="104">
        <f>+U21</f>
        <v>903.24000000000012</v>
      </c>
      <c r="P21" s="104"/>
      <c r="Q21" s="104"/>
      <c r="R21" s="104"/>
      <c r="S21" s="104"/>
      <c r="T21" s="104"/>
      <c r="U21" s="413">
        <f>(+AA15+AD11)*12</f>
        <v>903.24000000000012</v>
      </c>
      <c r="V21" s="414">
        <v>13.08</v>
      </c>
      <c r="W21" s="319"/>
      <c r="X21" s="319" t="e">
        <f>+AA12*#REF!</f>
        <v>#REF!</v>
      </c>
      <c r="Y21" s="416" t="e">
        <f>SUM(U21:X21)</f>
        <v>#REF!</v>
      </c>
      <c r="Z21" s="379">
        <f>SUM(C21:T21)-U21</f>
        <v>0</v>
      </c>
      <c r="AA21" s="385">
        <f>+AA12+AA16</f>
        <v>559.71374999999989</v>
      </c>
      <c r="AC21" s="368"/>
      <c r="AD21" s="394">
        <f>+AD29+AA29</f>
        <v>656.21374999999989</v>
      </c>
      <c r="AE21" s="392"/>
    </row>
    <row r="22" spans="1:31" s="9" customFormat="1" x14ac:dyDescent="0.2">
      <c r="A22" s="10" t="s">
        <v>211</v>
      </c>
      <c r="B22" s="40" t="s">
        <v>637</v>
      </c>
      <c r="C22" s="101">
        <f>+U22*(1.25/7.75)</f>
        <v>3180.2991935483874</v>
      </c>
      <c r="D22" s="101"/>
      <c r="E22" s="101">
        <f>+U22*(6/7.75)</f>
        <v>15265.436129032259</v>
      </c>
      <c r="F22" s="104">
        <f>+U22*(0.5/7.75)</f>
        <v>1272.119677419355</v>
      </c>
      <c r="G22" s="104"/>
      <c r="H22" s="104"/>
      <c r="I22" s="104"/>
      <c r="J22" s="104"/>
      <c r="K22" s="104"/>
      <c r="L22" s="104"/>
      <c r="M22" s="104"/>
      <c r="N22" s="104"/>
      <c r="P22" s="104"/>
      <c r="Q22" s="104"/>
      <c r="R22" s="104"/>
      <c r="S22" s="104"/>
      <c r="T22" s="101"/>
      <c r="U22" s="413">
        <f>(+AA10+AA14+AD10)*12</f>
        <v>19717.855000000003</v>
      </c>
      <c r="V22" s="414">
        <v>36.619999999999997</v>
      </c>
      <c r="W22" s="319"/>
      <c r="X22" s="319" t="e">
        <f>+#REF!*#REF!</f>
        <v>#REF!</v>
      </c>
      <c r="Y22" s="416" t="e">
        <f>SUM(U22:X22)</f>
        <v>#REF!</v>
      </c>
      <c r="Z22" s="379">
        <f>SUM(C22:T22)-U22</f>
        <v>0</v>
      </c>
      <c r="AE22" s="392"/>
    </row>
    <row r="23" spans="1:31" s="9" customFormat="1" x14ac:dyDescent="0.2">
      <c r="A23" s="10" t="s">
        <v>598</v>
      </c>
      <c r="B23" s="40" t="s">
        <v>549</v>
      </c>
      <c r="C23" s="319"/>
      <c r="D23" s="319"/>
      <c r="E23" s="319"/>
      <c r="F23" s="104">
        <f>+U23</f>
        <v>1655.52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413">
        <f>(+AD10+AA14)*12</f>
        <v>1655.52</v>
      </c>
      <c r="V23" s="414"/>
      <c r="W23" s="319"/>
      <c r="X23" s="319"/>
      <c r="Y23" s="416"/>
      <c r="Z23" s="379">
        <f t="shared" si="0"/>
        <v>0</v>
      </c>
      <c r="AC23" s="368"/>
      <c r="AD23" s="479"/>
      <c r="AE23" s="392"/>
    </row>
    <row r="24" spans="1:31" x14ac:dyDescent="0.2">
      <c r="A24" s="10" t="s">
        <v>211</v>
      </c>
      <c r="B24" s="494" t="s">
        <v>651</v>
      </c>
      <c r="C24" s="104"/>
      <c r="D24" s="319"/>
      <c r="E24" s="319"/>
      <c r="T24" s="415">
        <f>+U24</f>
        <v>19717.855000000003</v>
      </c>
      <c r="U24" s="419">
        <f>(+$AA$10+$AA$14+AD10)*12</f>
        <v>19717.855000000003</v>
      </c>
      <c r="V24" s="414">
        <v>36.619999999999997</v>
      </c>
      <c r="W24" s="415"/>
      <c r="X24" s="415" t="e">
        <f>+AA10*#REF!</f>
        <v>#REF!</v>
      </c>
      <c r="Y24" s="416" t="e">
        <f>SUM(U24:X24)</f>
        <v>#REF!</v>
      </c>
      <c r="Z24" s="379">
        <f t="shared" si="0"/>
        <v>0</v>
      </c>
      <c r="AA24"/>
      <c r="AB24"/>
      <c r="AE24" s="392"/>
    </row>
    <row r="25" spans="1:31" s="109" customFormat="1" x14ac:dyDescent="0.2">
      <c r="A25" s="386"/>
      <c r="B25" s="387" t="s">
        <v>153</v>
      </c>
      <c r="C25" s="420">
        <f t="shared" ref="C25:Y25" si="2">SUM(C7:C24)</f>
        <v>10876.072318548388</v>
      </c>
      <c r="D25" s="420">
        <f t="shared" si="2"/>
        <v>0</v>
      </c>
      <c r="E25" s="420">
        <f t="shared" si="2"/>
        <v>15265.436129032259</v>
      </c>
      <c r="F25" s="420">
        <f t="shared" si="2"/>
        <v>2927.6396774193549</v>
      </c>
      <c r="G25" s="420">
        <f t="shared" si="2"/>
        <v>2154.4690625000003</v>
      </c>
      <c r="H25" s="420">
        <f t="shared" si="2"/>
        <v>19390.221562500003</v>
      </c>
      <c r="I25" s="420">
        <f t="shared" si="2"/>
        <v>3530.0624999999991</v>
      </c>
      <c r="J25" s="420">
        <f t="shared" si="2"/>
        <v>0</v>
      </c>
      <c r="K25" s="420">
        <f t="shared" si="2"/>
        <v>14753.65</v>
      </c>
      <c r="L25" s="420">
        <f t="shared" si="2"/>
        <v>0</v>
      </c>
      <c r="M25" s="420">
        <f t="shared" si="2"/>
        <v>14753.65</v>
      </c>
      <c r="N25" s="420">
        <f t="shared" si="2"/>
        <v>0</v>
      </c>
      <c r="O25" s="420">
        <f t="shared" si="2"/>
        <v>12669.589916666666</v>
      </c>
      <c r="P25" s="420">
        <f t="shared" si="2"/>
        <v>0</v>
      </c>
      <c r="Q25" s="420">
        <f t="shared" si="2"/>
        <v>29522.754166666658</v>
      </c>
      <c r="R25" s="420">
        <f t="shared" si="2"/>
        <v>0</v>
      </c>
      <c r="S25" s="420">
        <f t="shared" si="2"/>
        <v>4910.5192499999994</v>
      </c>
      <c r="T25" s="420">
        <f t="shared" si="2"/>
        <v>44666.751250000008</v>
      </c>
      <c r="U25" s="420">
        <f t="shared" si="2"/>
        <v>175420.81583333333</v>
      </c>
      <c r="V25" s="420">
        <f t="shared" si="2"/>
        <v>434.57</v>
      </c>
      <c r="W25" s="420">
        <f t="shared" si="2"/>
        <v>51.8</v>
      </c>
      <c r="X25" s="420" t="e">
        <f t="shared" si="2"/>
        <v>#REF!</v>
      </c>
      <c r="Y25" s="420" t="e">
        <f t="shared" si="2"/>
        <v>#REF!</v>
      </c>
      <c r="Z25" s="388"/>
      <c r="AA25" s="389"/>
      <c r="AB25" s="388"/>
      <c r="AC25" s="388"/>
      <c r="AD25" s="388"/>
      <c r="AE25" s="389"/>
    </row>
    <row r="26" spans="1:31" s="5" customFormat="1" ht="15" x14ac:dyDescent="0.35">
      <c r="A26" s="3"/>
      <c r="B26" s="100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380"/>
      <c r="AA26" s="954" t="s">
        <v>512</v>
      </c>
      <c r="AB26" s="954"/>
      <c r="AC26" s="368"/>
      <c r="AD26" s="954" t="s">
        <v>519</v>
      </c>
      <c r="AE26" s="954"/>
    </row>
    <row r="27" spans="1:31" s="9" customFormat="1" x14ac:dyDescent="0.2">
      <c r="A27" s="10" t="s">
        <v>211</v>
      </c>
      <c r="B27" s="160" t="s">
        <v>520</v>
      </c>
      <c r="C27" s="101"/>
      <c r="D27" s="349"/>
      <c r="E27" s="349"/>
      <c r="F27" s="104"/>
      <c r="G27" s="104"/>
      <c r="H27" s="104"/>
      <c r="I27" s="104"/>
      <c r="J27" s="104"/>
      <c r="K27" s="104"/>
      <c r="L27" s="104"/>
      <c r="M27" s="104"/>
      <c r="N27" s="104">
        <f>+U27</f>
        <v>21004.015000000003</v>
      </c>
      <c r="O27" s="104"/>
      <c r="P27" s="104"/>
      <c r="Q27" s="104"/>
      <c r="R27" s="104"/>
      <c r="S27" s="104"/>
      <c r="T27" s="104"/>
      <c r="U27" s="413">
        <f>(+AA$27+AD$27)*12</f>
        <v>21004.015000000003</v>
      </c>
      <c r="V27" s="414">
        <v>41.97</v>
      </c>
      <c r="W27" s="415"/>
      <c r="X27" s="319">
        <f>(+AA27*AB31)</f>
        <v>0</v>
      </c>
      <c r="Y27" s="416">
        <f>SUM(U27:X27)</f>
        <v>21045.985000000004</v>
      </c>
      <c r="Z27" s="379">
        <f>SUM(C27:T27)-U27</f>
        <v>0</v>
      </c>
      <c r="AA27" s="324">
        <f>(18232.31/12+17892.36/12)/2</f>
        <v>1505.1945833333334</v>
      </c>
      <c r="AB27" s="380" t="s">
        <v>212</v>
      </c>
      <c r="AC27" s="368"/>
      <c r="AD27" s="324">
        <f>160.7+34.65+1.5+0.3+47.99</f>
        <v>245.14000000000001</v>
      </c>
      <c r="AE27" s="324" t="s">
        <v>212</v>
      </c>
    </row>
    <row r="28" spans="1:31" s="9" customFormat="1" x14ac:dyDescent="0.2">
      <c r="A28" s="10" t="s">
        <v>211</v>
      </c>
      <c r="B28" s="160" t="s">
        <v>599</v>
      </c>
      <c r="C28" s="101"/>
      <c r="D28" s="349"/>
      <c r="E28" s="349"/>
      <c r="F28" s="104"/>
      <c r="G28" s="104"/>
      <c r="H28" s="104"/>
      <c r="I28" s="104"/>
      <c r="J28" s="104"/>
      <c r="K28" s="104"/>
      <c r="L28" s="104">
        <f>+U28</f>
        <v>21004.015000000003</v>
      </c>
      <c r="M28" s="104"/>
      <c r="N28" s="104"/>
      <c r="O28" s="104"/>
      <c r="P28" s="104"/>
      <c r="Q28" s="104"/>
      <c r="R28" s="104"/>
      <c r="S28" s="104"/>
      <c r="T28" s="104"/>
      <c r="U28" s="413">
        <f>(+AA$27+AD$27)*12</f>
        <v>21004.015000000003</v>
      </c>
      <c r="V28" s="417">
        <v>41.97</v>
      </c>
      <c r="W28" s="415"/>
      <c r="X28" s="319">
        <f>(+AA27*AB31)</f>
        <v>0</v>
      </c>
      <c r="Y28" s="416">
        <f>SUM(U28:X28)</f>
        <v>21045.985000000004</v>
      </c>
      <c r="Z28" s="379">
        <f>SUM(C28:T28)-U28</f>
        <v>0</v>
      </c>
      <c r="AA28" s="324">
        <f>(13980.75/12+13720.07/12)/2</f>
        <v>1154.2008333333333</v>
      </c>
      <c r="AB28" s="380" t="s">
        <v>213</v>
      </c>
      <c r="AC28" s="368"/>
      <c r="AD28" s="324">
        <f>82.65+23.01+1.5+0.3+47.99</f>
        <v>155.45000000000002</v>
      </c>
      <c r="AE28" s="324" t="s">
        <v>213</v>
      </c>
    </row>
    <row r="29" spans="1:31" x14ac:dyDescent="0.2">
      <c r="A29" s="2" t="s">
        <v>211</v>
      </c>
      <c r="B29" s="160" t="s">
        <v>521</v>
      </c>
      <c r="C29" s="101"/>
      <c r="D29" s="415"/>
      <c r="E29" s="415"/>
      <c r="P29" s="102">
        <f>+U29*75%</f>
        <v>15753.011250000003</v>
      </c>
      <c r="R29" s="102">
        <f>+U29*25%</f>
        <v>5251.0037500000008</v>
      </c>
      <c r="U29" s="413">
        <f>(+AA$27+AD$27)*12</f>
        <v>21004.015000000003</v>
      </c>
      <c r="V29" s="414">
        <v>41.97</v>
      </c>
      <c r="W29" s="415"/>
      <c r="X29" s="319">
        <f>(AA27*AB31)</f>
        <v>0</v>
      </c>
      <c r="Y29" s="416">
        <f>SUM(U29:X29)</f>
        <v>21045.985000000004</v>
      </c>
      <c r="Z29" s="379">
        <f>SUM(C29:T29)-U29</f>
        <v>0</v>
      </c>
      <c r="AA29" s="324">
        <f>(6685.17/12+6560.52/12)/2</f>
        <v>551.90374999999995</v>
      </c>
      <c r="AB29" s="380" t="s">
        <v>214</v>
      </c>
      <c r="AD29" s="324">
        <f>43.81+10.71+1.5+0.3+47.99</f>
        <v>104.31</v>
      </c>
      <c r="AE29" s="324" t="s">
        <v>214</v>
      </c>
    </row>
    <row r="30" spans="1:31" ht="13.5" customHeight="1" x14ac:dyDescent="0.2">
      <c r="A30" s="2" t="s">
        <v>211</v>
      </c>
      <c r="B30" s="160" t="s">
        <v>522</v>
      </c>
      <c r="C30" s="101"/>
      <c r="D30" s="415"/>
      <c r="E30" s="415"/>
      <c r="J30" s="102">
        <f>+U30</f>
        <v>21004.015000000003</v>
      </c>
      <c r="U30" s="413">
        <f>(+AA$27+AD$27)*12</f>
        <v>21004.015000000003</v>
      </c>
      <c r="V30" s="414">
        <v>41.97</v>
      </c>
      <c r="W30" s="415"/>
      <c r="X30" s="319">
        <f>+AA27*AB31</f>
        <v>0</v>
      </c>
      <c r="Y30" s="416">
        <f>SUM(U30:X30)</f>
        <v>21045.985000000004</v>
      </c>
      <c r="Z30" s="379">
        <f>SUM(C30:T30)-U30</f>
        <v>0</v>
      </c>
      <c r="AA30"/>
      <c r="AB30" s="390"/>
      <c r="AC30" s="391" t="s">
        <v>524</v>
      </c>
      <c r="AD30"/>
      <c r="AE30" s="392"/>
    </row>
    <row r="31" spans="1:31" s="109" customFormat="1" x14ac:dyDescent="0.2">
      <c r="A31" s="386"/>
      <c r="B31" s="387" t="s">
        <v>523</v>
      </c>
      <c r="C31" s="420">
        <f t="shared" ref="C31:Y31" si="3">SUM(C27:C30)</f>
        <v>0</v>
      </c>
      <c r="D31" s="420">
        <f t="shared" si="3"/>
        <v>0</v>
      </c>
      <c r="E31" s="420">
        <f t="shared" si="3"/>
        <v>0</v>
      </c>
      <c r="F31" s="420">
        <f t="shared" si="3"/>
        <v>0</v>
      </c>
      <c r="G31" s="420">
        <f t="shared" si="3"/>
        <v>0</v>
      </c>
      <c r="H31" s="420">
        <f t="shared" si="3"/>
        <v>0</v>
      </c>
      <c r="I31" s="420">
        <f t="shared" si="3"/>
        <v>0</v>
      </c>
      <c r="J31" s="420">
        <f t="shared" si="3"/>
        <v>21004.015000000003</v>
      </c>
      <c r="K31" s="420">
        <f t="shared" si="3"/>
        <v>0</v>
      </c>
      <c r="L31" s="420">
        <f t="shared" si="3"/>
        <v>21004.015000000003</v>
      </c>
      <c r="M31" s="420">
        <f t="shared" si="3"/>
        <v>0</v>
      </c>
      <c r="N31" s="420">
        <f t="shared" si="3"/>
        <v>21004.015000000003</v>
      </c>
      <c r="O31" s="420">
        <f t="shared" si="3"/>
        <v>0</v>
      </c>
      <c r="P31" s="420">
        <f t="shared" si="3"/>
        <v>15753.011250000003</v>
      </c>
      <c r="Q31" s="420">
        <f t="shared" si="3"/>
        <v>0</v>
      </c>
      <c r="R31" s="420">
        <f t="shared" si="3"/>
        <v>5251.0037500000008</v>
      </c>
      <c r="S31" s="420">
        <f t="shared" si="3"/>
        <v>0</v>
      </c>
      <c r="T31" s="420">
        <f t="shared" si="3"/>
        <v>0</v>
      </c>
      <c r="U31" s="420">
        <f t="shared" si="3"/>
        <v>84016.060000000012</v>
      </c>
      <c r="V31" s="420">
        <f t="shared" si="3"/>
        <v>167.88</v>
      </c>
      <c r="W31" s="420">
        <f t="shared" si="3"/>
        <v>0</v>
      </c>
      <c r="X31" s="420">
        <f t="shared" si="3"/>
        <v>0</v>
      </c>
      <c r="Y31" s="421">
        <f t="shared" si="3"/>
        <v>84183.940000000017</v>
      </c>
      <c r="Z31" s="388"/>
      <c r="AB31" s="390"/>
      <c r="AC31" s="391" t="s">
        <v>525</v>
      </c>
      <c r="AD31" s="368"/>
      <c r="AE31" s="392"/>
    </row>
    <row r="32" spans="1:31" s="5" customFormat="1" x14ac:dyDescent="0.2">
      <c r="A32" s="3"/>
      <c r="B32" s="100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380"/>
      <c r="AA32"/>
      <c r="AE32" s="333"/>
    </row>
    <row r="33" spans="1:31" x14ac:dyDescent="0.2">
      <c r="B33" s="9"/>
      <c r="C33" s="104"/>
      <c r="D33" s="319"/>
      <c r="E33" s="319"/>
      <c r="W33" s="415"/>
      <c r="X33" s="415"/>
      <c r="Y33" s="413"/>
      <c r="AA33" s="392"/>
      <c r="AE33" s="392"/>
    </row>
    <row r="34" spans="1:31" s="398" customFormat="1" x14ac:dyDescent="0.2">
      <c r="A34" s="386"/>
      <c r="B34" s="395" t="s">
        <v>526</v>
      </c>
      <c r="C34" s="422">
        <f t="shared" ref="C34:U34" si="4">+C25+C31</f>
        <v>10876.072318548388</v>
      </c>
      <c r="D34" s="422">
        <f t="shared" si="4"/>
        <v>0</v>
      </c>
      <c r="E34" s="422">
        <f t="shared" si="4"/>
        <v>15265.436129032259</v>
      </c>
      <c r="F34" s="422">
        <f t="shared" si="4"/>
        <v>2927.6396774193549</v>
      </c>
      <c r="G34" s="422">
        <f t="shared" si="4"/>
        <v>2154.4690625000003</v>
      </c>
      <c r="H34" s="422">
        <f t="shared" si="4"/>
        <v>19390.221562500003</v>
      </c>
      <c r="I34" s="422">
        <f t="shared" si="4"/>
        <v>3530.0624999999991</v>
      </c>
      <c r="J34" s="422">
        <f t="shared" si="4"/>
        <v>21004.015000000003</v>
      </c>
      <c r="K34" s="422">
        <f t="shared" si="4"/>
        <v>14753.65</v>
      </c>
      <c r="L34" s="422">
        <f t="shared" si="4"/>
        <v>21004.015000000003</v>
      </c>
      <c r="M34" s="422">
        <f t="shared" si="4"/>
        <v>14753.65</v>
      </c>
      <c r="N34" s="422">
        <f t="shared" si="4"/>
        <v>21004.015000000003</v>
      </c>
      <c r="O34" s="422">
        <f t="shared" si="4"/>
        <v>12669.589916666666</v>
      </c>
      <c r="P34" s="422">
        <f t="shared" si="4"/>
        <v>15753.011250000003</v>
      </c>
      <c r="Q34" s="422">
        <f t="shared" si="4"/>
        <v>29522.754166666658</v>
      </c>
      <c r="R34" s="422">
        <f t="shared" si="4"/>
        <v>5251.0037500000008</v>
      </c>
      <c r="S34" s="422">
        <f t="shared" si="4"/>
        <v>4910.5192499999994</v>
      </c>
      <c r="T34" s="422">
        <f t="shared" si="4"/>
        <v>44666.751250000008</v>
      </c>
      <c r="U34" s="422">
        <f t="shared" si="4"/>
        <v>259436.87583333335</v>
      </c>
      <c r="V34" s="422" t="e">
        <f>+V25+V31+#REF!</f>
        <v>#REF!</v>
      </c>
      <c r="W34" s="422" t="e">
        <f>+W25+W31+#REF!</f>
        <v>#REF!</v>
      </c>
      <c r="X34" s="422" t="e">
        <f>+X25+X31+#REF!</f>
        <v>#REF!</v>
      </c>
      <c r="Y34" s="422" t="e">
        <f>+Y25+Y31+#REF!</f>
        <v>#REF!</v>
      </c>
      <c r="Z34" s="396"/>
      <c r="AA34" s="397"/>
      <c r="AB34" s="396"/>
      <c r="AC34" s="396"/>
      <c r="AD34" s="396"/>
      <c r="AE34" s="397"/>
    </row>
    <row r="35" spans="1:31" x14ac:dyDescent="0.2">
      <c r="C35" s="101"/>
      <c r="D35" s="319"/>
      <c r="E35" s="319"/>
      <c r="U35" s="357"/>
      <c r="V35" s="414"/>
      <c r="W35" s="102"/>
      <c r="X35" s="102"/>
      <c r="Y35" s="413"/>
      <c r="AA35" s="392"/>
      <c r="AE35" s="392"/>
    </row>
  </sheetData>
  <mergeCells count="4">
    <mergeCell ref="B2:Y2"/>
    <mergeCell ref="AA8:AB8"/>
    <mergeCell ref="AA26:AB26"/>
    <mergeCell ref="AD26:AE26"/>
  </mergeCells>
  <printOptions headings="1" gridLines="1"/>
  <pageMargins left="0.7" right="0.7" top="0.75" bottom="0.75" header="0.3" footer="0.3"/>
  <pageSetup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rgb="FFFFFF00"/>
    <pageSetUpPr fitToPage="1"/>
  </sheetPr>
  <dimension ref="B1:Y4127"/>
  <sheetViews>
    <sheetView topLeftCell="A7" zoomScale="125" zoomScaleNormal="125" workbookViewId="0">
      <pane xSplit="4" topLeftCell="E1" activePane="topRight" state="frozen"/>
      <selection activeCell="C12" sqref="C12"/>
      <selection pane="topRight" activeCell="U4" sqref="U4:V4"/>
    </sheetView>
  </sheetViews>
  <sheetFormatPr defaultColWidth="9.140625" defaultRowHeight="12.75" x14ac:dyDescent="0.2"/>
  <cols>
    <col min="1" max="1" width="3" customWidth="1"/>
    <col min="2" max="2" width="13.85546875" style="5" bestFit="1" customWidth="1"/>
    <col min="3" max="3" width="10.85546875" style="5" customWidth="1"/>
    <col min="4" max="4" width="8.85546875" style="71" customWidth="1"/>
    <col min="5" max="5" width="1.7109375" customWidth="1"/>
    <col min="6" max="6" width="5.140625" style="2" hidden="1" customWidth="1"/>
    <col min="7" max="7" width="10.28515625" style="5" hidden="1" customWidth="1"/>
    <col min="8" max="8" width="1.7109375" hidden="1" customWidth="1"/>
    <col min="9" max="9" width="5.140625" style="2" hidden="1" customWidth="1"/>
    <col min="10" max="10" width="10.28515625" style="5" hidden="1" customWidth="1"/>
    <col min="11" max="11" width="1.7109375" hidden="1" customWidth="1"/>
    <col min="12" max="12" width="5.140625" style="10" hidden="1" customWidth="1"/>
    <col min="13" max="13" width="10.28515625" style="9" hidden="1" customWidth="1"/>
    <col min="14" max="14" width="1.7109375" hidden="1" customWidth="1"/>
    <col min="15" max="15" width="5.140625" style="2" hidden="1" customWidth="1"/>
    <col min="16" max="16" width="10.28515625" style="5" hidden="1" customWidth="1"/>
    <col min="17" max="17" width="1.7109375" customWidth="1"/>
    <col min="18" max="18" width="5.140625" style="2" hidden="1" customWidth="1"/>
    <col min="19" max="19" width="10.28515625" style="5" hidden="1" customWidth="1"/>
    <col min="20" max="20" width="1.7109375" customWidth="1"/>
    <col min="21" max="21" width="5.140625" style="2" customWidth="1"/>
    <col min="22" max="22" width="10.7109375" style="5" bestFit="1" customWidth="1"/>
    <col min="24" max="24" width="39.5703125" bestFit="1" customWidth="1"/>
  </cols>
  <sheetData>
    <row r="1" spans="2:24" ht="23.25" x14ac:dyDescent="0.35">
      <c r="B1" s="74" t="s">
        <v>396</v>
      </c>
      <c r="E1" s="72"/>
      <c r="H1" s="72"/>
      <c r="K1" s="72"/>
      <c r="N1" s="72"/>
      <c r="Q1" s="72"/>
      <c r="T1" s="72"/>
    </row>
    <row r="2" spans="2:24" s="73" customFormat="1" ht="18" x14ac:dyDescent="0.25">
      <c r="B2" s="338">
        <v>43464</v>
      </c>
      <c r="C2" s="17"/>
      <c r="D2" s="17"/>
      <c r="F2" s="17"/>
      <c r="G2" s="17"/>
      <c r="I2" s="17"/>
      <c r="J2" s="17"/>
      <c r="O2" s="17"/>
      <c r="P2" s="17"/>
      <c r="R2" s="956">
        <v>0</v>
      </c>
      <c r="S2" s="957"/>
      <c r="U2" s="956">
        <v>0</v>
      </c>
      <c r="V2" s="957"/>
    </row>
    <row r="3" spans="2:24" s="73" customFormat="1" ht="18" x14ac:dyDescent="0.25">
      <c r="C3" s="75"/>
      <c r="D3" s="75"/>
      <c r="F3" s="75"/>
      <c r="G3" s="342"/>
      <c r="I3" s="75"/>
      <c r="J3" s="342">
        <v>0</v>
      </c>
      <c r="L3" s="244"/>
      <c r="M3" s="425">
        <v>0.02</v>
      </c>
      <c r="O3" s="963" t="s">
        <v>530</v>
      </c>
      <c r="P3" s="963"/>
      <c r="R3" s="958" t="s">
        <v>553</v>
      </c>
      <c r="S3" s="958"/>
      <c r="U3" s="958" t="s">
        <v>553</v>
      </c>
      <c r="V3" s="958"/>
    </row>
    <row r="4" spans="2:24" s="3" customFormat="1" ht="18" x14ac:dyDescent="0.25">
      <c r="D4" s="76"/>
      <c r="E4" s="77"/>
      <c r="F4" s="959" t="s">
        <v>456</v>
      </c>
      <c r="G4" s="959"/>
      <c r="H4" s="77"/>
      <c r="I4" s="960" t="s">
        <v>495</v>
      </c>
      <c r="J4" s="960"/>
      <c r="K4" s="77"/>
      <c r="L4" s="961" t="s">
        <v>495</v>
      </c>
      <c r="M4" s="961"/>
      <c r="N4" s="77"/>
      <c r="O4" s="962" t="s">
        <v>495</v>
      </c>
      <c r="P4" s="962"/>
      <c r="Q4" s="77"/>
      <c r="R4" s="955" t="s">
        <v>552</v>
      </c>
      <c r="S4" s="955"/>
      <c r="T4" s="77"/>
      <c r="U4" s="955" t="s">
        <v>1368</v>
      </c>
      <c r="V4" s="955"/>
    </row>
    <row r="5" spans="2:24" s="3" customFormat="1" x14ac:dyDescent="0.2">
      <c r="D5" s="76"/>
      <c r="E5" s="163"/>
      <c r="F5" s="3" t="s">
        <v>156</v>
      </c>
      <c r="G5" s="3" t="s">
        <v>97</v>
      </c>
      <c r="H5" s="163"/>
      <c r="I5" s="356" t="s">
        <v>156</v>
      </c>
      <c r="J5" s="356" t="s">
        <v>97</v>
      </c>
      <c r="K5" s="163"/>
      <c r="L5" s="10" t="s">
        <v>156</v>
      </c>
      <c r="M5" s="10" t="s">
        <v>97</v>
      </c>
      <c r="N5" s="163"/>
      <c r="O5" s="423" t="s">
        <v>156</v>
      </c>
      <c r="P5" s="423" t="s">
        <v>97</v>
      </c>
      <c r="Q5" s="163"/>
      <c r="R5" s="462" t="s">
        <v>156</v>
      </c>
      <c r="S5" s="462" t="s">
        <v>97</v>
      </c>
      <c r="T5" s="163"/>
      <c r="U5" s="462" t="s">
        <v>156</v>
      </c>
      <c r="V5" s="462" t="s">
        <v>97</v>
      </c>
    </row>
    <row r="6" spans="2:24" s="14" customFormat="1" x14ac:dyDescent="0.2">
      <c r="D6" s="78" t="s">
        <v>157</v>
      </c>
      <c r="F6" s="14" t="s">
        <v>158</v>
      </c>
      <c r="G6" s="14" t="s">
        <v>159</v>
      </c>
      <c r="I6" s="314" t="s">
        <v>158</v>
      </c>
      <c r="J6" s="314" t="s">
        <v>159</v>
      </c>
      <c r="L6" s="426" t="s">
        <v>158</v>
      </c>
      <c r="M6" s="426" t="s">
        <v>159</v>
      </c>
      <c r="O6" s="360" t="s">
        <v>158</v>
      </c>
      <c r="P6" s="360" t="s">
        <v>159</v>
      </c>
      <c r="R6" s="463" t="s">
        <v>158</v>
      </c>
      <c r="S6" s="463" t="s">
        <v>159</v>
      </c>
      <c r="U6" s="463" t="s">
        <v>158</v>
      </c>
      <c r="V6" s="463" t="s">
        <v>159</v>
      </c>
      <c r="X6" s="3"/>
    </row>
    <row r="7" spans="2:24" x14ac:dyDescent="0.2">
      <c r="B7" s="431" t="s">
        <v>531</v>
      </c>
      <c r="C7" s="431" t="s">
        <v>532</v>
      </c>
      <c r="D7" s="82" t="s">
        <v>165</v>
      </c>
      <c r="G7" s="79"/>
      <c r="I7" s="315">
        <v>4</v>
      </c>
      <c r="J7" s="316">
        <v>38076</v>
      </c>
      <c r="M7" s="104"/>
      <c r="O7" s="428">
        <v>4</v>
      </c>
      <c r="P7" s="429">
        <v>38760.639999999999</v>
      </c>
      <c r="R7" s="464">
        <v>4</v>
      </c>
      <c r="S7" s="465">
        <v>38839</v>
      </c>
      <c r="U7" s="464">
        <v>4</v>
      </c>
      <c r="V7" s="465">
        <f>38839/180*51.5</f>
        <v>11112.269444444444</v>
      </c>
      <c r="W7" s="430" t="s">
        <v>627</v>
      </c>
      <c r="X7" s="3"/>
    </row>
    <row r="8" spans="2:24" x14ac:dyDescent="0.2">
      <c r="B8" s="5" t="s">
        <v>621</v>
      </c>
      <c r="C8" s="5" t="s">
        <v>622</v>
      </c>
      <c r="D8" s="71" t="s">
        <v>160</v>
      </c>
      <c r="F8" s="2">
        <v>0</v>
      </c>
      <c r="G8" s="79">
        <v>30394</v>
      </c>
      <c r="I8" s="315">
        <v>0</v>
      </c>
      <c r="J8" s="316">
        <f>G8*(100%+$J$3)</f>
        <v>30394</v>
      </c>
      <c r="L8" s="10">
        <v>0</v>
      </c>
      <c r="M8" s="104">
        <f>J8*(100%+$M$3)</f>
        <v>31001.88</v>
      </c>
      <c r="O8" s="361">
        <v>1</v>
      </c>
      <c r="P8" s="362">
        <v>32052.21</v>
      </c>
      <c r="R8" s="464">
        <v>1</v>
      </c>
      <c r="S8" s="465">
        <v>32242</v>
      </c>
      <c r="U8" s="464">
        <v>0</v>
      </c>
      <c r="V8" s="465">
        <v>31002</v>
      </c>
      <c r="X8" s="3"/>
    </row>
    <row r="9" spans="2:24" x14ac:dyDescent="0.2">
      <c r="B9" s="5" t="s">
        <v>457</v>
      </c>
      <c r="C9" s="5" t="s">
        <v>458</v>
      </c>
      <c r="D9" s="82" t="s">
        <v>484</v>
      </c>
      <c r="F9" s="2">
        <v>1</v>
      </c>
      <c r="G9" s="79">
        <v>32875</v>
      </c>
      <c r="I9" s="315">
        <v>1</v>
      </c>
      <c r="J9" s="316">
        <f t="shared" ref="J9:J31" si="0">G9*(100%+$J$3)</f>
        <v>32875</v>
      </c>
      <c r="L9" s="10">
        <v>1</v>
      </c>
      <c r="M9" s="104">
        <f t="shared" ref="M9:M31" si="1">J9*(100%+$M$3)</f>
        <v>33532.5</v>
      </c>
      <c r="O9" s="361">
        <v>2</v>
      </c>
      <c r="P9" s="362">
        <v>34621.14</v>
      </c>
      <c r="R9" s="464">
        <v>2</v>
      </c>
      <c r="S9" s="465">
        <v>34821</v>
      </c>
      <c r="U9" s="464">
        <v>2</v>
      </c>
      <c r="V9" s="465">
        <v>34821</v>
      </c>
      <c r="X9" s="3"/>
    </row>
    <row r="10" spans="2:24" x14ac:dyDescent="0.2">
      <c r="B10" s="5" t="s">
        <v>479</v>
      </c>
      <c r="C10" s="5" t="s">
        <v>480</v>
      </c>
      <c r="D10" s="71" t="s">
        <v>165</v>
      </c>
      <c r="F10" s="2">
        <v>0</v>
      </c>
      <c r="G10" s="79">
        <v>32825</v>
      </c>
      <c r="I10" s="315">
        <v>0</v>
      </c>
      <c r="J10" s="316">
        <f t="shared" si="0"/>
        <v>32825</v>
      </c>
      <c r="L10" s="10">
        <v>0</v>
      </c>
      <c r="M10" s="104">
        <f t="shared" si="1"/>
        <v>33481.5</v>
      </c>
      <c r="O10" s="361">
        <v>1</v>
      </c>
      <c r="P10" s="362">
        <v>34616.01</v>
      </c>
      <c r="R10" s="464">
        <v>1</v>
      </c>
      <c r="S10" s="465">
        <v>34821</v>
      </c>
      <c r="U10" s="464">
        <v>1</v>
      </c>
      <c r="V10" s="465">
        <v>34821</v>
      </c>
      <c r="X10" s="3"/>
    </row>
    <row r="11" spans="2:24" x14ac:dyDescent="0.2">
      <c r="B11" s="431" t="s">
        <v>533</v>
      </c>
      <c r="C11" s="431" t="s">
        <v>259</v>
      </c>
      <c r="D11" s="71" t="s">
        <v>397</v>
      </c>
      <c r="F11" s="2">
        <v>2</v>
      </c>
      <c r="G11" s="79">
        <v>32825</v>
      </c>
      <c r="I11" s="315">
        <v>2</v>
      </c>
      <c r="J11" s="316">
        <f t="shared" si="0"/>
        <v>32825</v>
      </c>
      <c r="L11" s="10">
        <v>2</v>
      </c>
      <c r="M11" s="104">
        <f t="shared" si="1"/>
        <v>33481.5</v>
      </c>
      <c r="O11" s="361">
        <v>3</v>
      </c>
      <c r="P11" s="362">
        <v>34527.17</v>
      </c>
      <c r="R11" s="464">
        <v>3</v>
      </c>
      <c r="S11" s="465">
        <v>34722</v>
      </c>
      <c r="U11" s="464">
        <v>3</v>
      </c>
      <c r="V11" s="465">
        <f>34722/185*57.5</f>
        <v>10791.972972972972</v>
      </c>
      <c r="W11" s="430" t="s">
        <v>627</v>
      </c>
      <c r="X11" s="3"/>
    </row>
    <row r="12" spans="2:24" x14ac:dyDescent="0.2">
      <c r="B12" s="5" t="s">
        <v>546</v>
      </c>
      <c r="C12" s="5" t="s">
        <v>547</v>
      </c>
      <c r="D12" s="71" t="s">
        <v>165</v>
      </c>
      <c r="E12" s="81"/>
      <c r="G12" s="79"/>
      <c r="H12" s="81"/>
      <c r="I12" s="315"/>
      <c r="J12" s="316"/>
      <c r="K12" s="81"/>
      <c r="M12" s="104"/>
      <c r="N12" s="81"/>
      <c r="O12" s="361">
        <v>8</v>
      </c>
      <c r="P12" s="362">
        <v>21620.21</v>
      </c>
      <c r="Q12" s="81"/>
      <c r="R12" s="464">
        <v>8</v>
      </c>
      <c r="S12" s="465">
        <v>44196</v>
      </c>
      <c r="T12" s="81"/>
      <c r="U12" s="464">
        <v>8</v>
      </c>
      <c r="V12" s="465">
        <v>44196</v>
      </c>
      <c r="W12" s="9"/>
      <c r="X12" s="3"/>
    </row>
    <row r="13" spans="2:24" x14ac:dyDescent="0.2">
      <c r="B13" s="5" t="s">
        <v>162</v>
      </c>
      <c r="C13" s="5" t="s">
        <v>163</v>
      </c>
      <c r="D13" s="71" t="s">
        <v>161</v>
      </c>
      <c r="E13" s="81"/>
      <c r="F13" s="2">
        <v>15</v>
      </c>
      <c r="G13" s="79">
        <v>50576</v>
      </c>
      <c r="H13" s="81"/>
      <c r="I13" s="315">
        <v>15</v>
      </c>
      <c r="J13" s="316">
        <f>G13*(100%+$J$3)</f>
        <v>50576</v>
      </c>
      <c r="K13" s="81"/>
      <c r="L13" s="10">
        <v>15</v>
      </c>
      <c r="M13" s="104">
        <f>J13*(100%+$M$3)</f>
        <v>51587.520000000004</v>
      </c>
      <c r="N13" s="81"/>
      <c r="O13" s="361">
        <v>26</v>
      </c>
      <c r="P13" s="362">
        <v>51707.49</v>
      </c>
      <c r="Q13" s="81"/>
      <c r="R13" s="464">
        <v>26</v>
      </c>
      <c r="S13" s="465">
        <f>51587+250</f>
        <v>51837</v>
      </c>
      <c r="T13" s="81"/>
      <c r="U13" s="464">
        <v>26</v>
      </c>
      <c r="V13" s="465">
        <f>51587+250</f>
        <v>51837</v>
      </c>
      <c r="X13" s="3"/>
    </row>
    <row r="14" spans="2:24" x14ac:dyDescent="0.2">
      <c r="B14" s="5" t="s">
        <v>482</v>
      </c>
      <c r="C14" s="5" t="s">
        <v>483</v>
      </c>
      <c r="D14" s="71" t="s">
        <v>397</v>
      </c>
      <c r="E14" s="81"/>
      <c r="F14" s="2">
        <v>0</v>
      </c>
      <c r="G14" s="79">
        <v>30394</v>
      </c>
      <c r="H14" s="81"/>
      <c r="I14" s="315">
        <v>0</v>
      </c>
      <c r="J14" s="316">
        <f t="shared" si="0"/>
        <v>30394</v>
      </c>
      <c r="K14" s="81"/>
      <c r="L14" s="10">
        <v>0</v>
      </c>
      <c r="M14" s="104">
        <f t="shared" si="1"/>
        <v>31001.88</v>
      </c>
      <c r="N14" s="81"/>
      <c r="O14" s="361">
        <v>1</v>
      </c>
      <c r="P14" s="362">
        <v>32052.21</v>
      </c>
      <c r="Q14" s="81"/>
      <c r="R14" s="464">
        <v>1</v>
      </c>
      <c r="S14" s="465">
        <v>32242</v>
      </c>
      <c r="T14" s="81"/>
      <c r="U14" s="464">
        <v>1</v>
      </c>
      <c r="V14" s="465">
        <v>32242</v>
      </c>
      <c r="X14" s="9"/>
    </row>
    <row r="15" spans="2:24" x14ac:dyDescent="0.2">
      <c r="B15" s="5" t="s">
        <v>459</v>
      </c>
      <c r="C15" s="5" t="s">
        <v>460</v>
      </c>
      <c r="D15" s="71" t="s">
        <v>484</v>
      </c>
      <c r="E15" s="81"/>
      <c r="F15" s="2">
        <v>1</v>
      </c>
      <c r="G15" s="79">
        <v>32875</v>
      </c>
      <c r="H15" s="81"/>
      <c r="I15" s="315">
        <v>1</v>
      </c>
      <c r="J15" s="316">
        <f t="shared" si="0"/>
        <v>32875</v>
      </c>
      <c r="K15" s="81"/>
      <c r="L15" s="10">
        <v>1</v>
      </c>
      <c r="M15" s="104">
        <f t="shared" si="1"/>
        <v>33532.5</v>
      </c>
      <c r="N15" s="81"/>
      <c r="O15" s="361">
        <v>1</v>
      </c>
      <c r="P15" s="362">
        <v>34621.14</v>
      </c>
      <c r="Q15" s="81"/>
      <c r="R15" s="464">
        <v>1</v>
      </c>
      <c r="S15" s="465">
        <f>34821/185*79+36161/185*106</f>
        <v>35588.78378378378</v>
      </c>
      <c r="T15" s="81"/>
      <c r="U15" s="464">
        <v>1</v>
      </c>
      <c r="V15" s="465">
        <v>36161</v>
      </c>
    </row>
    <row r="16" spans="2:24" x14ac:dyDescent="0.2">
      <c r="B16" s="5" t="s">
        <v>167</v>
      </c>
      <c r="C16" s="5" t="s">
        <v>168</v>
      </c>
      <c r="D16" s="71" t="s">
        <v>169</v>
      </c>
      <c r="F16" s="2">
        <v>13</v>
      </c>
      <c r="G16" s="79">
        <v>51739</v>
      </c>
      <c r="I16" s="315">
        <v>13</v>
      </c>
      <c r="J16" s="316">
        <f t="shared" si="0"/>
        <v>51739</v>
      </c>
      <c r="L16" s="10">
        <v>13</v>
      </c>
      <c r="M16" s="104">
        <f t="shared" si="1"/>
        <v>52773.78</v>
      </c>
      <c r="O16" s="361">
        <v>22</v>
      </c>
      <c r="P16" s="362">
        <v>53914.05</v>
      </c>
      <c r="R16" s="464">
        <v>22</v>
      </c>
      <c r="S16" s="465">
        <v>54163</v>
      </c>
      <c r="U16" s="464">
        <v>22</v>
      </c>
      <c r="V16" s="465">
        <v>54163</v>
      </c>
    </row>
    <row r="17" spans="2:25" x14ac:dyDescent="0.2">
      <c r="B17" s="5" t="s">
        <v>170</v>
      </c>
      <c r="C17" s="5" t="s">
        <v>171</v>
      </c>
      <c r="D17" s="71" t="s">
        <v>161</v>
      </c>
      <c r="E17" s="81"/>
      <c r="F17" s="2">
        <v>15</v>
      </c>
      <c r="G17" s="79">
        <f>50576+(250*1)</f>
        <v>50826</v>
      </c>
      <c r="H17" s="81"/>
      <c r="I17" s="315">
        <v>15</v>
      </c>
      <c r="J17" s="316">
        <f t="shared" si="0"/>
        <v>50826</v>
      </c>
      <c r="K17" s="81"/>
      <c r="L17" s="10">
        <v>15</v>
      </c>
      <c r="M17" s="104">
        <f t="shared" si="1"/>
        <v>51842.520000000004</v>
      </c>
      <c r="N17" s="81"/>
      <c r="O17" s="361">
        <v>26</v>
      </c>
      <c r="P17" s="362">
        <v>51957.49</v>
      </c>
      <c r="Q17" s="81"/>
      <c r="R17" s="464">
        <v>26</v>
      </c>
      <c r="S17" s="465">
        <f>51587+250+250</f>
        <v>52087</v>
      </c>
      <c r="T17" s="81"/>
      <c r="U17" s="464">
        <v>26</v>
      </c>
      <c r="V17" s="465">
        <f>51587+250+250</f>
        <v>52087</v>
      </c>
    </row>
    <row r="18" spans="2:25" x14ac:dyDescent="0.2">
      <c r="B18" s="5" t="s">
        <v>534</v>
      </c>
      <c r="C18" s="5" t="s">
        <v>535</v>
      </c>
      <c r="D18" s="82" t="s">
        <v>165</v>
      </c>
      <c r="G18" s="79"/>
      <c r="I18" s="315">
        <v>5</v>
      </c>
      <c r="J18" s="316">
        <v>39388</v>
      </c>
      <c r="M18" s="104">
        <f t="shared" si="1"/>
        <v>40175.760000000002</v>
      </c>
      <c r="O18" s="428">
        <v>5</v>
      </c>
      <c r="P18" s="429">
        <v>40096.86</v>
      </c>
      <c r="R18" s="464">
        <v>5</v>
      </c>
      <c r="S18" s="465">
        <v>40178</v>
      </c>
      <c r="U18" s="464">
        <v>5</v>
      </c>
      <c r="V18" s="465">
        <v>40178</v>
      </c>
    </row>
    <row r="19" spans="2:25" x14ac:dyDescent="0.2">
      <c r="B19" s="431" t="s">
        <v>534</v>
      </c>
      <c r="C19" s="431" t="s">
        <v>623</v>
      </c>
      <c r="D19" s="71" t="s">
        <v>161</v>
      </c>
      <c r="G19" s="79"/>
      <c r="I19" s="315">
        <v>5</v>
      </c>
      <c r="J19" s="316">
        <v>39388</v>
      </c>
      <c r="M19" s="104">
        <f>J19*(100%+$M$3)</f>
        <v>40175.760000000002</v>
      </c>
      <c r="O19" s="428">
        <v>5</v>
      </c>
      <c r="P19" s="429">
        <v>40096.86</v>
      </c>
      <c r="R19" s="464">
        <v>5</v>
      </c>
      <c r="S19" s="465">
        <v>40178</v>
      </c>
      <c r="U19" s="464">
        <v>7</v>
      </c>
      <c r="V19" s="465">
        <v>41270</v>
      </c>
      <c r="W19" s="430" t="s">
        <v>536</v>
      </c>
    </row>
    <row r="20" spans="2:25" x14ac:dyDescent="0.2">
      <c r="B20" s="5" t="s">
        <v>172</v>
      </c>
      <c r="C20" s="5" t="s">
        <v>173</v>
      </c>
      <c r="D20" s="71" t="s">
        <v>161</v>
      </c>
      <c r="E20" s="81"/>
      <c r="F20" s="2">
        <v>15</v>
      </c>
      <c r="G20" s="79">
        <f>50576+250</f>
        <v>50826</v>
      </c>
      <c r="H20" s="81"/>
      <c r="I20" s="315">
        <v>15</v>
      </c>
      <c r="J20" s="316">
        <f t="shared" si="0"/>
        <v>50826</v>
      </c>
      <c r="K20" s="81"/>
      <c r="L20" s="10">
        <v>15</v>
      </c>
      <c r="M20" s="104">
        <f t="shared" si="1"/>
        <v>51842.520000000004</v>
      </c>
      <c r="N20" s="81"/>
      <c r="O20" s="361">
        <v>26</v>
      </c>
      <c r="P20" s="362">
        <v>51957.49</v>
      </c>
      <c r="Q20" s="81"/>
      <c r="R20" s="464">
        <v>26</v>
      </c>
      <c r="S20" s="465">
        <f>51587+250+250</f>
        <v>52087</v>
      </c>
      <c r="T20" s="81"/>
      <c r="U20" s="464">
        <v>26</v>
      </c>
      <c r="V20" s="465">
        <f>51587+250+250</f>
        <v>52087</v>
      </c>
    </row>
    <row r="21" spans="2:25" x14ac:dyDescent="0.2">
      <c r="B21" s="5" t="s">
        <v>624</v>
      </c>
      <c r="C21" s="5" t="s">
        <v>625</v>
      </c>
      <c r="D21" s="71" t="s">
        <v>161</v>
      </c>
      <c r="E21" s="81"/>
      <c r="G21" s="79"/>
      <c r="H21" s="81"/>
      <c r="I21" s="315"/>
      <c r="J21" s="316"/>
      <c r="K21" s="81"/>
      <c r="M21" s="104"/>
      <c r="N21" s="81"/>
      <c r="O21" s="361"/>
      <c r="P21" s="362"/>
      <c r="Q21" s="81"/>
      <c r="R21" s="464">
        <v>0</v>
      </c>
      <c r="S21" s="465">
        <v>31002</v>
      </c>
      <c r="T21" s="81"/>
      <c r="U21" s="464">
        <v>0</v>
      </c>
      <c r="V21" s="465">
        <v>32242</v>
      </c>
    </row>
    <row r="22" spans="2:25" x14ac:dyDescent="0.2">
      <c r="B22" s="5" t="s">
        <v>461</v>
      </c>
      <c r="C22" s="5" t="s">
        <v>163</v>
      </c>
      <c r="D22" s="71" t="s">
        <v>161</v>
      </c>
      <c r="E22" s="81"/>
      <c r="F22" s="2">
        <v>5</v>
      </c>
      <c r="G22" s="79">
        <v>37929</v>
      </c>
      <c r="H22" s="81"/>
      <c r="I22" s="315">
        <v>5</v>
      </c>
      <c r="J22" s="316">
        <f t="shared" si="0"/>
        <v>37929</v>
      </c>
      <c r="K22" s="81"/>
      <c r="L22" s="10">
        <v>5</v>
      </c>
      <c r="M22" s="104">
        <f t="shared" si="1"/>
        <v>38687.58</v>
      </c>
      <c r="N22" s="81"/>
      <c r="O22" s="361">
        <v>9</v>
      </c>
      <c r="P22" s="362">
        <v>39769.360000000001</v>
      </c>
      <c r="Q22" s="81"/>
      <c r="R22" s="464">
        <v>9</v>
      </c>
      <c r="S22" s="465">
        <v>39980</v>
      </c>
      <c r="T22" s="81"/>
      <c r="U22" s="464">
        <v>9</v>
      </c>
      <c r="V22" s="465">
        <v>39980</v>
      </c>
    </row>
    <row r="23" spans="2:25" x14ac:dyDescent="0.2">
      <c r="B23" s="5" t="s">
        <v>485</v>
      </c>
      <c r="C23" s="5" t="s">
        <v>486</v>
      </c>
      <c r="D23" t="s">
        <v>165</v>
      </c>
      <c r="E23" s="234"/>
      <c r="F23" s="2">
        <v>4</v>
      </c>
      <c r="G23" s="79">
        <v>38076</v>
      </c>
      <c r="H23" s="234"/>
      <c r="I23" s="315">
        <v>4</v>
      </c>
      <c r="J23" s="316">
        <f t="shared" si="0"/>
        <v>38076</v>
      </c>
      <c r="K23" s="234"/>
      <c r="L23" s="10">
        <v>4</v>
      </c>
      <c r="M23" s="104">
        <f t="shared" si="1"/>
        <v>38837.520000000004</v>
      </c>
      <c r="N23" s="234"/>
      <c r="O23" s="361">
        <v>7</v>
      </c>
      <c r="P23" s="362">
        <v>32143.7</v>
      </c>
      <c r="Q23" s="234"/>
      <c r="R23" s="464">
        <v>7</v>
      </c>
      <c r="S23" s="465">
        <v>40178</v>
      </c>
      <c r="T23" s="234"/>
      <c r="U23" s="464">
        <v>7</v>
      </c>
      <c r="V23" s="465">
        <v>40178</v>
      </c>
      <c r="W23" s="163"/>
      <c r="X23" s="163"/>
      <c r="Y23" s="163"/>
    </row>
    <row r="24" spans="2:25" x14ac:dyDescent="0.2">
      <c r="B24" s="5" t="s">
        <v>174</v>
      </c>
      <c r="C24" s="5" t="s">
        <v>164</v>
      </c>
      <c r="D24" s="71" t="s">
        <v>165</v>
      </c>
      <c r="F24" s="2">
        <v>12</v>
      </c>
      <c r="G24" s="79">
        <v>48580</v>
      </c>
      <c r="I24" s="315">
        <v>12</v>
      </c>
      <c r="J24" s="316">
        <f t="shared" si="0"/>
        <v>48580</v>
      </c>
      <c r="L24" s="10">
        <v>12</v>
      </c>
      <c r="M24" s="104">
        <f t="shared" si="1"/>
        <v>49551.6</v>
      </c>
      <c r="O24" s="361">
        <v>18</v>
      </c>
      <c r="P24" s="362">
        <v>50655.45</v>
      </c>
      <c r="R24" s="464">
        <v>18</v>
      </c>
      <c r="S24" s="465">
        <v>50893</v>
      </c>
      <c r="U24" s="464">
        <v>18</v>
      </c>
      <c r="V24" s="465">
        <v>50893</v>
      </c>
    </row>
    <row r="25" spans="2:25" x14ac:dyDescent="0.2">
      <c r="B25" s="5" t="s">
        <v>175</v>
      </c>
      <c r="C25" s="5" t="s">
        <v>176</v>
      </c>
      <c r="D25" s="82" t="s">
        <v>169</v>
      </c>
      <c r="F25" s="2">
        <v>12</v>
      </c>
      <c r="G25" s="79">
        <v>50380</v>
      </c>
      <c r="I25" s="315">
        <v>12</v>
      </c>
      <c r="J25" s="316">
        <f t="shared" si="0"/>
        <v>50380</v>
      </c>
      <c r="L25" s="10">
        <v>12</v>
      </c>
      <c r="M25" s="104">
        <f t="shared" si="1"/>
        <v>51387.6</v>
      </c>
      <c r="O25" s="361">
        <v>19</v>
      </c>
      <c r="P25" s="362">
        <v>52528.13</v>
      </c>
      <c r="R25" s="464">
        <v>19</v>
      </c>
      <c r="S25" s="465">
        <v>52774</v>
      </c>
      <c r="U25" s="464">
        <v>19</v>
      </c>
      <c r="V25" s="465">
        <v>52774</v>
      </c>
    </row>
    <row r="26" spans="2:25" x14ac:dyDescent="0.2">
      <c r="B26" s="5" t="s">
        <v>382</v>
      </c>
      <c r="C26" s="5" t="s">
        <v>383</v>
      </c>
      <c r="D26" s="82" t="s">
        <v>165</v>
      </c>
      <c r="E26" s="163"/>
      <c r="F26" s="2">
        <v>1</v>
      </c>
      <c r="G26" s="79">
        <v>34135</v>
      </c>
      <c r="H26" s="163"/>
      <c r="I26" s="315">
        <v>1</v>
      </c>
      <c r="J26" s="316">
        <f t="shared" si="0"/>
        <v>34135</v>
      </c>
      <c r="K26" s="163"/>
      <c r="L26" s="10">
        <v>1</v>
      </c>
      <c r="M26" s="104">
        <f t="shared" si="1"/>
        <v>34817.699999999997</v>
      </c>
      <c r="N26" s="163"/>
      <c r="O26" s="361">
        <v>2</v>
      </c>
      <c r="P26" s="362">
        <v>35952.92</v>
      </c>
      <c r="Q26" s="163"/>
      <c r="R26" s="464">
        <v>2</v>
      </c>
      <c r="S26" s="465">
        <v>36161</v>
      </c>
      <c r="T26" s="163"/>
      <c r="U26" s="464">
        <v>2</v>
      </c>
      <c r="V26" s="465">
        <v>36161</v>
      </c>
    </row>
    <row r="27" spans="2:25" x14ac:dyDescent="0.2">
      <c r="B27" s="5" t="s">
        <v>177</v>
      </c>
      <c r="C27" s="5" t="s">
        <v>178</v>
      </c>
      <c r="D27" s="71" t="s">
        <v>161</v>
      </c>
      <c r="E27" s="81"/>
      <c r="F27" s="2">
        <v>15</v>
      </c>
      <c r="G27" s="79">
        <f>50576+(250*2)</f>
        <v>51076</v>
      </c>
      <c r="H27" s="81"/>
      <c r="I27" s="315">
        <v>15</v>
      </c>
      <c r="J27" s="316">
        <f t="shared" si="0"/>
        <v>51076</v>
      </c>
      <c r="K27" s="81"/>
      <c r="L27" s="10">
        <v>15</v>
      </c>
      <c r="M27" s="104">
        <f t="shared" si="1"/>
        <v>52097.520000000004</v>
      </c>
      <c r="N27" s="81"/>
      <c r="O27" s="361">
        <v>26</v>
      </c>
      <c r="P27" s="362">
        <v>51983.17</v>
      </c>
      <c r="Q27" s="81"/>
      <c r="R27" s="464">
        <v>26</v>
      </c>
      <c r="S27" s="465">
        <f>51587+500</f>
        <v>52087</v>
      </c>
      <c r="T27" s="81"/>
      <c r="U27" s="464">
        <v>26</v>
      </c>
      <c r="V27" s="465">
        <f>51587+500</f>
        <v>52087</v>
      </c>
    </row>
    <row r="28" spans="2:25" x14ac:dyDescent="0.2">
      <c r="B28" s="5" t="s">
        <v>179</v>
      </c>
      <c r="C28" s="5" t="s">
        <v>166</v>
      </c>
      <c r="D28" s="82" t="s">
        <v>165</v>
      </c>
      <c r="E28" s="5"/>
      <c r="F28" s="2">
        <v>5</v>
      </c>
      <c r="G28" s="79">
        <v>39388</v>
      </c>
      <c r="H28" s="5"/>
      <c r="I28" s="315">
        <v>5</v>
      </c>
      <c r="J28" s="316">
        <f t="shared" si="0"/>
        <v>39388</v>
      </c>
      <c r="K28" s="5"/>
      <c r="L28" s="10">
        <v>5</v>
      </c>
      <c r="M28" s="104">
        <f t="shared" si="1"/>
        <v>40175.760000000002</v>
      </c>
      <c r="N28" s="5"/>
      <c r="O28" s="361">
        <v>9</v>
      </c>
      <c r="P28" s="362">
        <v>41299.24</v>
      </c>
      <c r="Q28" s="5"/>
      <c r="R28" s="464">
        <v>9</v>
      </c>
      <c r="S28" s="465">
        <v>41518</v>
      </c>
      <c r="T28" s="5"/>
      <c r="U28" s="464">
        <v>9</v>
      </c>
      <c r="V28" s="465">
        <v>41518</v>
      </c>
    </row>
    <row r="29" spans="2:25" x14ac:dyDescent="0.2">
      <c r="B29" s="5" t="s">
        <v>384</v>
      </c>
      <c r="C29" s="5" t="s">
        <v>385</v>
      </c>
      <c r="D29" s="82" t="s">
        <v>397</v>
      </c>
      <c r="E29" s="5"/>
      <c r="F29" s="2">
        <v>1</v>
      </c>
      <c r="G29" s="79">
        <v>31609</v>
      </c>
      <c r="H29" s="5"/>
      <c r="I29" s="315">
        <v>1</v>
      </c>
      <c r="J29" s="316">
        <f t="shared" si="0"/>
        <v>31609</v>
      </c>
      <c r="K29" s="5"/>
      <c r="L29" s="10">
        <v>1</v>
      </c>
      <c r="M29" s="104">
        <f t="shared" si="1"/>
        <v>32241.18</v>
      </c>
      <c r="N29" s="5"/>
      <c r="O29" s="361">
        <v>1</v>
      </c>
      <c r="P29" s="362">
        <v>33289.64</v>
      </c>
      <c r="Q29" s="5"/>
      <c r="R29" s="464">
        <v>1</v>
      </c>
      <c r="S29" s="465">
        <v>34264</v>
      </c>
      <c r="T29" s="5"/>
      <c r="U29" s="464">
        <v>1</v>
      </c>
      <c r="V29" s="465">
        <v>34821</v>
      </c>
    </row>
    <row r="30" spans="2:25" x14ac:dyDescent="0.2">
      <c r="B30" s="5" t="s">
        <v>569</v>
      </c>
      <c r="C30" s="5" t="s">
        <v>570</v>
      </c>
      <c r="D30" s="82" t="s">
        <v>161</v>
      </c>
      <c r="E30" s="5"/>
      <c r="G30" s="79"/>
      <c r="H30" s="5"/>
      <c r="I30" s="315"/>
      <c r="J30" s="316"/>
      <c r="K30" s="5"/>
      <c r="M30" s="104"/>
      <c r="N30" s="5"/>
      <c r="O30" s="361"/>
      <c r="P30" s="362"/>
      <c r="Q30" s="5"/>
      <c r="R30" s="464">
        <v>7</v>
      </c>
      <c r="S30" s="465">
        <v>60744</v>
      </c>
      <c r="T30" s="5"/>
      <c r="U30" s="464">
        <v>7</v>
      </c>
      <c r="V30" s="465">
        <f>45139+5761+7674</f>
        <v>58574</v>
      </c>
      <c r="W30" t="s">
        <v>626</v>
      </c>
    </row>
    <row r="31" spans="2:25" x14ac:dyDescent="0.2">
      <c r="B31" s="5" t="s">
        <v>432</v>
      </c>
      <c r="C31" s="5" t="s">
        <v>433</v>
      </c>
      <c r="D31" s="82" t="s">
        <v>161</v>
      </c>
      <c r="E31" s="5"/>
      <c r="F31" s="2">
        <v>4</v>
      </c>
      <c r="G31" s="79">
        <v>36666</v>
      </c>
      <c r="H31" s="5"/>
      <c r="I31" s="315">
        <v>4</v>
      </c>
      <c r="J31" s="316">
        <f t="shared" si="0"/>
        <v>36666</v>
      </c>
      <c r="K31" s="5"/>
      <c r="L31" s="10">
        <v>4</v>
      </c>
      <c r="M31" s="104">
        <f t="shared" si="1"/>
        <v>37399.32</v>
      </c>
      <c r="N31" s="5"/>
      <c r="O31" s="361">
        <v>7</v>
      </c>
      <c r="P31" s="362">
        <v>38482.129999999997</v>
      </c>
      <c r="Q31" s="5"/>
      <c r="R31" s="464">
        <v>7</v>
      </c>
      <c r="S31" s="465">
        <v>38690</v>
      </c>
      <c r="T31" s="5"/>
      <c r="U31" s="464">
        <v>7</v>
      </c>
      <c r="V31" s="465">
        <v>38690</v>
      </c>
    </row>
    <row r="32" spans="2:25" ht="13.5" thickBot="1" x14ac:dyDescent="0.25">
      <c r="G32" s="79"/>
      <c r="I32" s="315"/>
      <c r="J32" s="316"/>
      <c r="M32" s="104"/>
      <c r="O32" s="361"/>
      <c r="P32" s="362"/>
      <c r="R32" s="464"/>
      <c r="S32" s="465"/>
      <c r="U32" s="464"/>
      <c r="V32" s="465"/>
    </row>
    <row r="33" spans="4:23" ht="13.5" thickBot="1" x14ac:dyDescent="0.25">
      <c r="G33" s="358">
        <f>SUM(G7:G32)</f>
        <v>763994</v>
      </c>
      <c r="I33" s="315"/>
      <c r="J33" s="317">
        <f>SUM(J7:J32)</f>
        <v>880846</v>
      </c>
      <c r="M33" s="427">
        <f>SUM(M7:M32)</f>
        <v>859625.4</v>
      </c>
      <c r="O33" s="361"/>
      <c r="P33" s="363">
        <f>SUM(P7:P32)</f>
        <v>928704.71</v>
      </c>
      <c r="R33" s="464"/>
      <c r="S33" s="466">
        <f>SUM(S7:S32)</f>
        <v>1056292.7837837837</v>
      </c>
      <c r="U33" s="464"/>
      <c r="V33" s="466">
        <f>SUM(V7:V32)</f>
        <v>1004687.2424174175</v>
      </c>
    </row>
    <row r="34" spans="4:23" x14ac:dyDescent="0.2">
      <c r="G34" s="79"/>
      <c r="J34" s="79"/>
      <c r="M34" s="104"/>
      <c r="P34" s="79"/>
      <c r="S34" s="79"/>
      <c r="V34" s="79"/>
    </row>
    <row r="35" spans="4:23" x14ac:dyDescent="0.2">
      <c r="D35"/>
      <c r="G35" s="79"/>
      <c r="J35" s="357">
        <f>+J33-G33</f>
        <v>116852</v>
      </c>
      <c r="M35" s="357">
        <f>+M33-J33</f>
        <v>-21220.599999999977</v>
      </c>
      <c r="P35" s="357">
        <f>+P33-J33</f>
        <v>47858.709999999963</v>
      </c>
      <c r="S35" s="357">
        <f>+S33-M33</f>
        <v>196667.38378378365</v>
      </c>
      <c r="V35" s="357"/>
      <c r="W35" s="81"/>
    </row>
    <row r="36" spans="4:23" x14ac:dyDescent="0.2">
      <c r="G36" s="79"/>
      <c r="J36" s="79"/>
      <c r="M36" s="104"/>
      <c r="P36" s="79"/>
      <c r="S36" s="79"/>
      <c r="V36" s="79"/>
    </row>
    <row r="37" spans="4:23" x14ac:dyDescent="0.2">
      <c r="G37" s="79"/>
      <c r="J37" s="79"/>
      <c r="M37" s="104"/>
      <c r="P37" s="79"/>
      <c r="S37" s="79"/>
      <c r="V37" s="79"/>
    </row>
    <row r="38" spans="4:23" x14ac:dyDescent="0.2">
      <c r="G38" s="79"/>
      <c r="J38" s="79"/>
      <c r="M38" s="104"/>
      <c r="P38" s="79"/>
      <c r="S38" s="79"/>
      <c r="V38" s="79"/>
    </row>
    <row r="39" spans="4:23" x14ac:dyDescent="0.2">
      <c r="G39" s="79"/>
      <c r="J39" s="79"/>
      <c r="M39" s="104"/>
      <c r="P39" s="79"/>
      <c r="S39" s="79"/>
      <c r="V39" s="79"/>
    </row>
    <row r="40" spans="4:23" x14ac:dyDescent="0.2">
      <c r="G40" s="79"/>
      <c r="J40" s="79"/>
      <c r="M40" s="104"/>
      <c r="P40" s="79"/>
      <c r="S40" s="79"/>
      <c r="V40" s="79"/>
    </row>
    <row r="41" spans="4:23" x14ac:dyDescent="0.2">
      <c r="G41" s="79"/>
      <c r="J41" s="79"/>
      <c r="M41" s="104"/>
      <c r="P41" s="79"/>
      <c r="S41" s="79"/>
      <c r="V41" s="79"/>
    </row>
    <row r="42" spans="4:23" x14ac:dyDescent="0.2">
      <c r="G42" s="79"/>
      <c r="J42" s="79"/>
      <c r="M42" s="104"/>
      <c r="P42" s="79"/>
      <c r="S42" s="79"/>
      <c r="V42" s="79"/>
    </row>
    <row r="43" spans="4:23" x14ac:dyDescent="0.2">
      <c r="G43" s="79"/>
      <c r="J43" s="79"/>
      <c r="M43" s="104"/>
      <c r="P43" s="79"/>
      <c r="S43" s="79"/>
      <c r="V43" s="79"/>
    </row>
    <row r="44" spans="4:23" x14ac:dyDescent="0.2">
      <c r="G44" s="79"/>
      <c r="J44" s="79"/>
      <c r="M44" s="104"/>
      <c r="P44" s="79"/>
      <c r="S44" s="79"/>
      <c r="V44" s="79"/>
    </row>
    <row r="45" spans="4:23" x14ac:dyDescent="0.2">
      <c r="G45" s="79"/>
      <c r="J45" s="79"/>
      <c r="M45" s="104"/>
      <c r="P45" s="79"/>
      <c r="S45" s="79"/>
      <c r="V45" s="79"/>
    </row>
    <row r="46" spans="4:23" x14ac:dyDescent="0.2">
      <c r="G46" s="79"/>
      <c r="J46" s="79"/>
      <c r="M46" s="104"/>
      <c r="P46" s="79"/>
      <c r="S46" s="79"/>
      <c r="V46" s="79"/>
    </row>
    <row r="47" spans="4:23" x14ac:dyDescent="0.2">
      <c r="G47" s="79"/>
      <c r="J47" s="79"/>
      <c r="M47" s="104"/>
      <c r="P47" s="79"/>
      <c r="S47" s="79"/>
      <c r="V47" s="79"/>
    </row>
    <row r="48" spans="4:23" x14ac:dyDescent="0.2">
      <c r="G48" s="79"/>
      <c r="J48" s="79"/>
      <c r="M48" s="104"/>
      <c r="P48" s="79"/>
      <c r="S48" s="79"/>
      <c r="V48" s="79"/>
    </row>
    <row r="49" spans="7:22" x14ac:dyDescent="0.2">
      <c r="G49" s="79"/>
      <c r="J49" s="79"/>
      <c r="M49" s="104"/>
      <c r="P49" s="79"/>
      <c r="S49" s="79"/>
      <c r="V49" s="79"/>
    </row>
    <row r="50" spans="7:22" x14ac:dyDescent="0.2">
      <c r="G50" s="79"/>
      <c r="J50" s="79"/>
      <c r="M50" s="104"/>
      <c r="P50" s="79"/>
      <c r="S50" s="79"/>
      <c r="V50" s="79"/>
    </row>
    <row r="51" spans="7:22" x14ac:dyDescent="0.2">
      <c r="G51" s="79"/>
      <c r="J51" s="79"/>
      <c r="M51" s="104"/>
      <c r="P51" s="79"/>
      <c r="S51" s="79"/>
      <c r="V51" s="79"/>
    </row>
    <row r="52" spans="7:22" x14ac:dyDescent="0.2">
      <c r="G52" s="79"/>
      <c r="J52" s="79"/>
      <c r="M52" s="104"/>
      <c r="P52" s="79"/>
      <c r="S52" s="79"/>
      <c r="V52" s="79"/>
    </row>
    <row r="53" spans="7:22" x14ac:dyDescent="0.2">
      <c r="G53" s="79"/>
      <c r="J53" s="79"/>
      <c r="M53" s="104"/>
      <c r="P53" s="79"/>
      <c r="S53" s="79"/>
      <c r="V53" s="79"/>
    </row>
    <row r="54" spans="7:22" x14ac:dyDescent="0.2">
      <c r="G54" s="79"/>
      <c r="J54" s="79"/>
      <c r="M54" s="104"/>
      <c r="P54" s="79"/>
      <c r="S54" s="79"/>
      <c r="V54" s="79"/>
    </row>
    <row r="55" spans="7:22" x14ac:dyDescent="0.2">
      <c r="G55" s="79"/>
      <c r="J55" s="79"/>
      <c r="M55" s="104"/>
      <c r="P55" s="79"/>
      <c r="S55" s="79"/>
      <c r="V55" s="79"/>
    </row>
    <row r="56" spans="7:22" x14ac:dyDescent="0.2">
      <c r="G56" s="79"/>
      <c r="J56" s="79"/>
      <c r="M56" s="104"/>
      <c r="P56" s="79"/>
      <c r="S56" s="79"/>
      <c r="V56" s="79"/>
    </row>
    <row r="57" spans="7:22" x14ac:dyDescent="0.2">
      <c r="G57" s="79"/>
      <c r="J57" s="79"/>
      <c r="M57" s="104"/>
      <c r="P57" s="79"/>
      <c r="S57" s="79"/>
      <c r="V57" s="79"/>
    </row>
    <row r="58" spans="7:22" x14ac:dyDescent="0.2">
      <c r="G58" s="79"/>
      <c r="J58" s="79"/>
      <c r="M58" s="104"/>
      <c r="P58" s="79"/>
      <c r="S58" s="79"/>
      <c r="V58" s="79"/>
    </row>
    <row r="59" spans="7:22" x14ac:dyDescent="0.2">
      <c r="G59" s="79"/>
      <c r="J59" s="79"/>
      <c r="M59" s="104"/>
      <c r="P59" s="79"/>
      <c r="S59" s="79"/>
      <c r="V59" s="79"/>
    </row>
    <row r="60" spans="7:22" x14ac:dyDescent="0.2">
      <c r="G60" s="79"/>
      <c r="J60" s="79"/>
      <c r="M60" s="104"/>
      <c r="P60" s="79"/>
      <c r="S60" s="79"/>
      <c r="V60" s="79"/>
    </row>
    <row r="61" spans="7:22" x14ac:dyDescent="0.2">
      <c r="G61" s="79"/>
      <c r="J61" s="79"/>
      <c r="M61" s="104"/>
      <c r="P61" s="79"/>
      <c r="S61" s="79"/>
      <c r="V61" s="79"/>
    </row>
    <row r="62" spans="7:22" x14ac:dyDescent="0.2">
      <c r="G62" s="79"/>
      <c r="J62" s="79"/>
      <c r="M62" s="104"/>
      <c r="P62" s="79"/>
      <c r="S62" s="79"/>
      <c r="V62" s="79"/>
    </row>
    <row r="63" spans="7:22" x14ac:dyDescent="0.2">
      <c r="G63" s="79"/>
      <c r="J63" s="79"/>
      <c r="M63" s="104"/>
      <c r="P63" s="79"/>
      <c r="S63" s="79"/>
      <c r="V63" s="79"/>
    </row>
    <row r="64" spans="7:22" x14ac:dyDescent="0.2">
      <c r="G64" s="79"/>
      <c r="J64" s="79"/>
      <c r="M64" s="104"/>
      <c r="P64" s="79"/>
      <c r="S64" s="79"/>
      <c r="V64" s="79"/>
    </row>
    <row r="65" spans="7:22" x14ac:dyDescent="0.2">
      <c r="G65" s="79"/>
      <c r="J65" s="79"/>
      <c r="M65" s="104"/>
      <c r="P65" s="79"/>
      <c r="S65" s="79"/>
      <c r="V65" s="79"/>
    </row>
    <row r="66" spans="7:22" x14ac:dyDescent="0.2">
      <c r="G66" s="79"/>
      <c r="J66" s="79"/>
      <c r="M66" s="104"/>
      <c r="P66" s="79"/>
      <c r="S66" s="79"/>
      <c r="V66" s="79"/>
    </row>
    <row r="67" spans="7:22" x14ac:dyDescent="0.2">
      <c r="G67" s="79"/>
      <c r="J67" s="79"/>
      <c r="M67" s="104"/>
      <c r="P67" s="79"/>
      <c r="S67" s="79"/>
      <c r="V67" s="79"/>
    </row>
    <row r="68" spans="7:22" x14ac:dyDescent="0.2">
      <c r="G68" s="79"/>
      <c r="J68" s="79"/>
      <c r="M68" s="104"/>
      <c r="P68" s="79"/>
      <c r="S68" s="79"/>
      <c r="V68" s="79"/>
    </row>
    <row r="69" spans="7:22" x14ac:dyDescent="0.2">
      <c r="G69" s="79"/>
      <c r="J69" s="79"/>
      <c r="M69" s="104"/>
      <c r="P69" s="79"/>
      <c r="S69" s="79"/>
      <c r="V69" s="79"/>
    </row>
    <row r="70" spans="7:22" x14ac:dyDescent="0.2">
      <c r="G70" s="79"/>
      <c r="J70" s="79"/>
      <c r="M70" s="104"/>
      <c r="P70" s="79"/>
      <c r="S70" s="79"/>
      <c r="V70" s="79"/>
    </row>
    <row r="71" spans="7:22" x14ac:dyDescent="0.2">
      <c r="G71" s="79"/>
      <c r="J71" s="79"/>
      <c r="M71" s="104"/>
      <c r="P71" s="79"/>
      <c r="S71" s="79"/>
      <c r="V71" s="79"/>
    </row>
    <row r="72" spans="7:22" x14ac:dyDescent="0.2">
      <c r="G72" s="79"/>
      <c r="J72" s="79"/>
      <c r="M72" s="104"/>
      <c r="P72" s="79"/>
      <c r="S72" s="79"/>
      <c r="V72" s="79"/>
    </row>
    <row r="73" spans="7:22" x14ac:dyDescent="0.2">
      <c r="G73" s="79"/>
      <c r="J73" s="79"/>
      <c r="M73" s="104"/>
      <c r="P73" s="79"/>
      <c r="S73" s="79"/>
      <c r="V73" s="79"/>
    </row>
    <row r="74" spans="7:22" x14ac:dyDescent="0.2">
      <c r="G74" s="79"/>
      <c r="J74" s="79"/>
      <c r="M74" s="104"/>
      <c r="P74" s="79"/>
      <c r="S74" s="79"/>
      <c r="V74" s="79"/>
    </row>
    <row r="75" spans="7:22" x14ac:dyDescent="0.2">
      <c r="G75" s="79"/>
      <c r="J75" s="79"/>
      <c r="M75" s="104"/>
      <c r="P75" s="79"/>
      <c r="S75" s="79"/>
      <c r="V75" s="79"/>
    </row>
    <row r="76" spans="7:22" x14ac:dyDescent="0.2">
      <c r="G76" s="79"/>
      <c r="J76" s="79"/>
      <c r="M76" s="104"/>
      <c r="P76" s="79"/>
      <c r="S76" s="79"/>
      <c r="V76" s="79"/>
    </row>
    <row r="77" spans="7:22" x14ac:dyDescent="0.2">
      <c r="G77" s="79"/>
      <c r="J77" s="79"/>
      <c r="M77" s="104"/>
      <c r="P77" s="79"/>
      <c r="S77" s="79"/>
      <c r="V77" s="79"/>
    </row>
    <row r="78" spans="7:22" x14ac:dyDescent="0.2">
      <c r="G78" s="79"/>
      <c r="J78" s="79"/>
      <c r="M78" s="104"/>
      <c r="P78" s="79"/>
      <c r="S78" s="79"/>
      <c r="V78" s="79"/>
    </row>
    <row r="79" spans="7:22" x14ac:dyDescent="0.2">
      <c r="G79" s="79"/>
      <c r="J79" s="79"/>
      <c r="M79" s="104"/>
      <c r="P79" s="79"/>
      <c r="S79" s="79"/>
      <c r="V79" s="79"/>
    </row>
    <row r="80" spans="7:22" x14ac:dyDescent="0.2">
      <c r="G80" s="79"/>
      <c r="J80" s="79"/>
      <c r="M80" s="104"/>
      <c r="P80" s="79"/>
      <c r="S80" s="79"/>
      <c r="V80" s="79"/>
    </row>
    <row r="81" spans="7:22" x14ac:dyDescent="0.2">
      <c r="G81" s="79"/>
      <c r="J81" s="79"/>
      <c r="M81" s="104"/>
      <c r="P81" s="79"/>
      <c r="S81" s="79"/>
      <c r="V81" s="79"/>
    </row>
    <row r="82" spans="7:22" x14ac:dyDescent="0.2">
      <c r="G82" s="79"/>
      <c r="J82" s="79"/>
      <c r="M82" s="104"/>
      <c r="P82" s="79"/>
      <c r="S82" s="79"/>
      <c r="V82" s="79"/>
    </row>
    <row r="83" spans="7:22" x14ac:dyDescent="0.2">
      <c r="G83" s="79"/>
      <c r="J83" s="79"/>
      <c r="M83" s="104"/>
      <c r="P83" s="79"/>
      <c r="S83" s="79"/>
      <c r="V83" s="79"/>
    </row>
    <row r="84" spans="7:22" x14ac:dyDescent="0.2">
      <c r="G84" s="79"/>
      <c r="J84" s="79"/>
      <c r="M84" s="104"/>
      <c r="P84" s="79"/>
      <c r="S84" s="79"/>
      <c r="V84" s="79"/>
    </row>
    <row r="85" spans="7:22" x14ac:dyDescent="0.2">
      <c r="G85" s="79"/>
      <c r="J85" s="79"/>
      <c r="M85" s="104"/>
      <c r="P85" s="79"/>
      <c r="S85" s="79"/>
      <c r="V85" s="79"/>
    </row>
    <row r="86" spans="7:22" x14ac:dyDescent="0.2">
      <c r="G86" s="79"/>
      <c r="J86" s="79"/>
      <c r="M86" s="104"/>
      <c r="P86" s="79"/>
      <c r="S86" s="79"/>
      <c r="V86" s="79"/>
    </row>
    <row r="87" spans="7:22" x14ac:dyDescent="0.2">
      <c r="G87" s="79"/>
      <c r="J87" s="79"/>
      <c r="M87" s="104"/>
      <c r="P87" s="79"/>
      <c r="S87" s="79"/>
      <c r="V87" s="79"/>
    </row>
    <row r="88" spans="7:22" x14ac:dyDescent="0.2">
      <c r="G88" s="79"/>
      <c r="J88" s="79"/>
      <c r="M88" s="104"/>
      <c r="P88" s="79"/>
      <c r="S88" s="79"/>
      <c r="V88" s="79"/>
    </row>
    <row r="89" spans="7:22" x14ac:dyDescent="0.2">
      <c r="G89" s="79"/>
      <c r="J89" s="79"/>
      <c r="M89" s="104"/>
      <c r="P89" s="79"/>
      <c r="S89" s="79"/>
      <c r="V89" s="79"/>
    </row>
    <row r="90" spans="7:22" x14ac:dyDescent="0.2">
      <c r="G90" s="79"/>
      <c r="J90" s="79"/>
      <c r="M90" s="104"/>
      <c r="P90" s="79"/>
      <c r="S90" s="79"/>
      <c r="V90" s="79"/>
    </row>
    <row r="91" spans="7:22" x14ac:dyDescent="0.2">
      <c r="G91" s="79"/>
      <c r="J91" s="79"/>
      <c r="M91" s="104"/>
      <c r="P91" s="79"/>
      <c r="S91" s="79"/>
      <c r="V91" s="79"/>
    </row>
    <row r="92" spans="7:22" x14ac:dyDescent="0.2">
      <c r="G92" s="79"/>
      <c r="J92" s="79"/>
      <c r="M92" s="104"/>
      <c r="P92" s="79"/>
      <c r="S92" s="79"/>
      <c r="V92" s="79"/>
    </row>
    <row r="93" spans="7:22" x14ac:dyDescent="0.2">
      <c r="G93" s="79"/>
      <c r="J93" s="79"/>
      <c r="M93" s="104"/>
      <c r="P93" s="79"/>
      <c r="S93" s="79"/>
      <c r="V93" s="79"/>
    </row>
    <row r="94" spans="7:22" x14ac:dyDescent="0.2">
      <c r="G94" s="79"/>
      <c r="J94" s="79"/>
      <c r="M94" s="104"/>
      <c r="P94" s="79"/>
      <c r="S94" s="79"/>
      <c r="V94" s="79"/>
    </row>
    <row r="95" spans="7:22" x14ac:dyDescent="0.2">
      <c r="G95" s="79"/>
      <c r="J95" s="79"/>
      <c r="M95" s="104"/>
      <c r="P95" s="79"/>
      <c r="S95" s="79"/>
      <c r="V95" s="79"/>
    </row>
    <row r="96" spans="7:22" x14ac:dyDescent="0.2">
      <c r="G96" s="79"/>
      <c r="J96" s="79"/>
      <c r="M96" s="104"/>
      <c r="P96" s="79"/>
      <c r="S96" s="79"/>
      <c r="V96" s="79"/>
    </row>
    <row r="97" spans="7:22" x14ac:dyDescent="0.2">
      <c r="G97" s="79"/>
      <c r="J97" s="79"/>
      <c r="M97" s="104"/>
      <c r="P97" s="79"/>
      <c r="S97" s="79"/>
      <c r="V97" s="79"/>
    </row>
    <row r="98" spans="7:22" x14ac:dyDescent="0.2">
      <c r="G98" s="79"/>
      <c r="J98" s="79"/>
      <c r="M98" s="104"/>
      <c r="P98" s="79"/>
      <c r="S98" s="79"/>
      <c r="V98" s="79"/>
    </row>
    <row r="99" spans="7:22" x14ac:dyDescent="0.2">
      <c r="G99" s="79"/>
      <c r="J99" s="79"/>
      <c r="M99" s="104"/>
      <c r="P99" s="79"/>
      <c r="S99" s="79"/>
      <c r="V99" s="79"/>
    </row>
    <row r="100" spans="7:22" x14ac:dyDescent="0.2">
      <c r="G100" s="79"/>
      <c r="J100" s="79"/>
      <c r="M100" s="104"/>
      <c r="P100" s="79"/>
      <c r="S100" s="79"/>
      <c r="V100" s="79"/>
    </row>
    <row r="101" spans="7:22" x14ac:dyDescent="0.2">
      <c r="G101" s="79"/>
      <c r="J101" s="79"/>
      <c r="M101" s="104"/>
      <c r="P101" s="79"/>
      <c r="S101" s="79"/>
      <c r="V101" s="79"/>
    </row>
    <row r="102" spans="7:22" x14ac:dyDescent="0.2">
      <c r="G102" s="79"/>
      <c r="J102" s="79"/>
      <c r="M102" s="104"/>
      <c r="P102" s="79"/>
      <c r="S102" s="79"/>
      <c r="V102" s="79"/>
    </row>
    <row r="103" spans="7:22" x14ac:dyDescent="0.2">
      <c r="G103" s="79"/>
      <c r="J103" s="79"/>
      <c r="M103" s="104"/>
      <c r="P103" s="79"/>
      <c r="S103" s="79"/>
      <c r="V103" s="79"/>
    </row>
    <row r="104" spans="7:22" x14ac:dyDescent="0.2">
      <c r="G104" s="79"/>
      <c r="J104" s="79"/>
      <c r="M104" s="104"/>
      <c r="P104" s="79"/>
      <c r="S104" s="79"/>
      <c r="V104" s="79"/>
    </row>
    <row r="105" spans="7:22" x14ac:dyDescent="0.2">
      <c r="G105" s="79"/>
      <c r="J105" s="79"/>
      <c r="M105" s="104"/>
      <c r="P105" s="79"/>
      <c r="S105" s="79"/>
      <c r="V105" s="79"/>
    </row>
    <row r="106" spans="7:22" x14ac:dyDescent="0.2">
      <c r="G106" s="79"/>
      <c r="J106" s="79"/>
      <c r="M106" s="104"/>
      <c r="P106" s="79"/>
      <c r="S106" s="79"/>
      <c r="V106" s="79"/>
    </row>
    <row r="107" spans="7:22" x14ac:dyDescent="0.2">
      <c r="G107" s="79"/>
      <c r="J107" s="79"/>
      <c r="M107" s="104"/>
      <c r="P107" s="79"/>
      <c r="S107" s="79"/>
      <c r="V107" s="79"/>
    </row>
    <row r="108" spans="7:22" x14ac:dyDescent="0.2">
      <c r="G108" s="79"/>
      <c r="J108" s="79"/>
      <c r="M108" s="104"/>
      <c r="P108" s="79"/>
      <c r="S108" s="79"/>
      <c r="V108" s="79"/>
    </row>
    <row r="109" spans="7:22" x14ac:dyDescent="0.2">
      <c r="G109" s="79"/>
      <c r="J109" s="79"/>
      <c r="M109" s="104"/>
      <c r="P109" s="79"/>
      <c r="S109" s="79"/>
      <c r="V109" s="79"/>
    </row>
    <row r="110" spans="7:22" x14ac:dyDescent="0.2">
      <c r="G110" s="79"/>
      <c r="J110" s="79"/>
      <c r="M110" s="104"/>
      <c r="P110" s="79"/>
      <c r="S110" s="79"/>
      <c r="V110" s="79"/>
    </row>
    <row r="111" spans="7:22" x14ac:dyDescent="0.2">
      <c r="G111" s="79"/>
      <c r="J111" s="79"/>
      <c r="M111" s="104"/>
      <c r="P111" s="79"/>
      <c r="S111" s="79"/>
      <c r="V111" s="79"/>
    </row>
    <row r="112" spans="7:22" x14ac:dyDescent="0.2">
      <c r="G112" s="79"/>
      <c r="J112" s="79"/>
      <c r="M112" s="104"/>
      <c r="P112" s="79"/>
      <c r="S112" s="79"/>
      <c r="V112" s="79"/>
    </row>
    <row r="113" spans="7:22" x14ac:dyDescent="0.2">
      <c r="G113" s="79"/>
      <c r="J113" s="79"/>
      <c r="M113" s="104"/>
      <c r="P113" s="79"/>
      <c r="S113" s="79"/>
      <c r="V113" s="79"/>
    </row>
    <row r="114" spans="7:22" x14ac:dyDescent="0.2">
      <c r="G114" s="79"/>
      <c r="J114" s="79"/>
      <c r="M114" s="104"/>
      <c r="P114" s="79"/>
      <c r="S114" s="79"/>
      <c r="V114" s="79"/>
    </row>
    <row r="115" spans="7:22" x14ac:dyDescent="0.2">
      <c r="G115" s="79"/>
      <c r="J115" s="79"/>
      <c r="M115" s="104"/>
      <c r="P115" s="79"/>
      <c r="S115" s="79"/>
      <c r="V115" s="79"/>
    </row>
    <row r="116" spans="7:22" x14ac:dyDescent="0.2">
      <c r="G116" s="79"/>
      <c r="J116" s="79"/>
      <c r="M116" s="104"/>
      <c r="P116" s="79"/>
      <c r="S116" s="79"/>
      <c r="V116" s="79"/>
    </row>
    <row r="117" spans="7:22" x14ac:dyDescent="0.2">
      <c r="G117" s="79"/>
      <c r="J117" s="79"/>
      <c r="M117" s="104"/>
      <c r="P117" s="79"/>
      <c r="S117" s="79"/>
      <c r="V117" s="79"/>
    </row>
    <row r="118" spans="7:22" x14ac:dyDescent="0.2">
      <c r="G118" s="79"/>
      <c r="J118" s="79"/>
      <c r="M118" s="104"/>
      <c r="P118" s="79"/>
      <c r="S118" s="79"/>
      <c r="V118" s="79"/>
    </row>
    <row r="119" spans="7:22" x14ac:dyDescent="0.2">
      <c r="G119" s="79"/>
      <c r="J119" s="79"/>
      <c r="M119" s="104"/>
      <c r="P119" s="79"/>
      <c r="S119" s="79"/>
      <c r="V119" s="79"/>
    </row>
    <row r="120" spans="7:22" x14ac:dyDescent="0.2">
      <c r="G120" s="79"/>
      <c r="J120" s="79"/>
      <c r="M120" s="104"/>
      <c r="P120" s="79"/>
      <c r="S120" s="79"/>
      <c r="V120" s="79"/>
    </row>
    <row r="121" spans="7:22" x14ac:dyDescent="0.2">
      <c r="G121" s="79"/>
      <c r="J121" s="79"/>
      <c r="M121" s="104"/>
      <c r="P121" s="79"/>
      <c r="S121" s="79"/>
      <c r="V121" s="79"/>
    </row>
    <row r="122" spans="7:22" x14ac:dyDescent="0.2">
      <c r="G122" s="79"/>
      <c r="J122" s="79"/>
      <c r="M122" s="104"/>
      <c r="P122" s="79"/>
      <c r="S122" s="79"/>
      <c r="V122" s="79"/>
    </row>
    <row r="123" spans="7:22" x14ac:dyDescent="0.2">
      <c r="G123" s="79"/>
      <c r="J123" s="79"/>
      <c r="M123" s="104"/>
      <c r="P123" s="79"/>
      <c r="S123" s="79"/>
      <c r="V123" s="79"/>
    </row>
    <row r="124" spans="7:22" x14ac:dyDescent="0.2">
      <c r="G124" s="79"/>
      <c r="J124" s="79"/>
      <c r="M124" s="104"/>
      <c r="P124" s="79"/>
      <c r="S124" s="79"/>
      <c r="V124" s="79"/>
    </row>
    <row r="125" spans="7:22" x14ac:dyDescent="0.2">
      <c r="G125" s="79"/>
      <c r="J125" s="79"/>
      <c r="M125" s="104"/>
      <c r="P125" s="79"/>
      <c r="S125" s="79"/>
      <c r="V125" s="79"/>
    </row>
    <row r="126" spans="7:22" x14ac:dyDescent="0.2">
      <c r="G126" s="79"/>
      <c r="J126" s="79"/>
      <c r="M126" s="104"/>
      <c r="P126" s="79"/>
      <c r="S126" s="79"/>
      <c r="V126" s="79"/>
    </row>
    <row r="127" spans="7:22" x14ac:dyDescent="0.2">
      <c r="G127" s="79"/>
      <c r="J127" s="79"/>
      <c r="M127" s="104"/>
      <c r="P127" s="79"/>
      <c r="S127" s="79"/>
      <c r="V127" s="79"/>
    </row>
    <row r="128" spans="7:22" x14ac:dyDescent="0.2">
      <c r="G128" s="79"/>
      <c r="J128" s="79"/>
      <c r="M128" s="104"/>
      <c r="P128" s="79"/>
      <c r="S128" s="79"/>
      <c r="V128" s="79"/>
    </row>
    <row r="129" spans="7:22" x14ac:dyDescent="0.2">
      <c r="G129" s="79"/>
      <c r="J129" s="79"/>
      <c r="M129" s="104"/>
      <c r="P129" s="79"/>
      <c r="S129" s="79"/>
      <c r="V129" s="79"/>
    </row>
    <row r="130" spans="7:22" x14ac:dyDescent="0.2">
      <c r="G130" s="79"/>
      <c r="J130" s="79"/>
      <c r="M130" s="104"/>
      <c r="P130" s="79"/>
      <c r="S130" s="79"/>
      <c r="V130" s="79"/>
    </row>
    <row r="131" spans="7:22" x14ac:dyDescent="0.2">
      <c r="G131" s="79"/>
      <c r="J131" s="79"/>
      <c r="M131" s="104"/>
      <c r="P131" s="79"/>
      <c r="S131" s="79"/>
      <c r="V131" s="79"/>
    </row>
    <row r="132" spans="7:22" x14ac:dyDescent="0.2">
      <c r="G132" s="79"/>
      <c r="J132" s="79"/>
      <c r="M132" s="104"/>
      <c r="P132" s="79"/>
      <c r="S132" s="79"/>
      <c r="V132" s="79"/>
    </row>
    <row r="133" spans="7:22" x14ac:dyDescent="0.2">
      <c r="G133" s="79"/>
      <c r="J133" s="79"/>
      <c r="M133" s="104"/>
      <c r="P133" s="79"/>
      <c r="S133" s="79"/>
      <c r="V133" s="79"/>
    </row>
    <row r="134" spans="7:22" x14ac:dyDescent="0.2">
      <c r="G134" s="79"/>
      <c r="J134" s="79"/>
      <c r="M134" s="104"/>
      <c r="P134" s="79"/>
      <c r="S134" s="79"/>
      <c r="V134" s="79"/>
    </row>
    <row r="135" spans="7:22" x14ac:dyDescent="0.2">
      <c r="G135" s="79"/>
      <c r="J135" s="79"/>
      <c r="M135" s="104"/>
      <c r="P135" s="79"/>
      <c r="S135" s="79"/>
      <c r="V135" s="79"/>
    </row>
    <row r="136" spans="7:22" x14ac:dyDescent="0.2">
      <c r="G136" s="79"/>
      <c r="J136" s="79"/>
      <c r="M136" s="104"/>
      <c r="P136" s="79"/>
      <c r="S136" s="79"/>
      <c r="V136" s="79"/>
    </row>
    <row r="137" spans="7:22" x14ac:dyDescent="0.2">
      <c r="G137" s="79"/>
      <c r="J137" s="79"/>
      <c r="M137" s="104"/>
      <c r="P137" s="79"/>
      <c r="S137" s="79"/>
      <c r="V137" s="79"/>
    </row>
    <row r="138" spans="7:22" x14ac:dyDescent="0.2">
      <c r="G138" s="79"/>
      <c r="J138" s="79"/>
      <c r="M138" s="104"/>
      <c r="P138" s="79"/>
      <c r="S138" s="79"/>
      <c r="V138" s="79"/>
    </row>
    <row r="139" spans="7:22" x14ac:dyDescent="0.2">
      <c r="G139" s="79"/>
      <c r="J139" s="79"/>
      <c r="M139" s="104"/>
      <c r="P139" s="79"/>
      <c r="S139" s="79"/>
      <c r="V139" s="79"/>
    </row>
    <row r="140" spans="7:22" x14ac:dyDescent="0.2">
      <c r="G140" s="79"/>
      <c r="J140" s="79"/>
      <c r="M140" s="104"/>
      <c r="P140" s="79"/>
      <c r="S140" s="79"/>
      <c r="V140" s="79"/>
    </row>
    <row r="141" spans="7:22" x14ac:dyDescent="0.2">
      <c r="G141" s="79"/>
      <c r="J141" s="79"/>
      <c r="M141" s="104"/>
      <c r="P141" s="79"/>
      <c r="S141" s="79"/>
      <c r="V141" s="79"/>
    </row>
    <row r="142" spans="7:22" x14ac:dyDescent="0.2">
      <c r="G142" s="79"/>
      <c r="J142" s="79"/>
      <c r="M142" s="104"/>
      <c r="P142" s="79"/>
      <c r="S142" s="79"/>
      <c r="V142" s="79"/>
    </row>
    <row r="143" spans="7:22" x14ac:dyDescent="0.2">
      <c r="G143" s="79"/>
      <c r="J143" s="79"/>
      <c r="M143" s="104"/>
      <c r="P143" s="79"/>
      <c r="S143" s="79"/>
      <c r="V143" s="79"/>
    </row>
    <row r="144" spans="7:22" x14ac:dyDescent="0.2">
      <c r="G144" s="79"/>
      <c r="J144" s="79"/>
      <c r="M144" s="104"/>
      <c r="P144" s="79"/>
      <c r="S144" s="79"/>
      <c r="V144" s="79"/>
    </row>
    <row r="145" spans="7:22" x14ac:dyDescent="0.2">
      <c r="G145" s="79"/>
      <c r="J145" s="79"/>
      <c r="M145" s="104"/>
      <c r="P145" s="79"/>
      <c r="S145" s="79"/>
      <c r="V145" s="79"/>
    </row>
    <row r="146" spans="7:22" x14ac:dyDescent="0.2">
      <c r="G146" s="79"/>
      <c r="J146" s="79"/>
      <c r="M146" s="104"/>
      <c r="P146" s="79"/>
      <c r="S146" s="79"/>
      <c r="V146" s="79"/>
    </row>
    <row r="147" spans="7:22" x14ac:dyDescent="0.2">
      <c r="G147" s="79"/>
      <c r="J147" s="79"/>
      <c r="M147" s="104"/>
      <c r="P147" s="79"/>
      <c r="S147" s="79"/>
      <c r="V147" s="79"/>
    </row>
    <row r="148" spans="7:22" x14ac:dyDescent="0.2">
      <c r="G148" s="79"/>
      <c r="J148" s="79"/>
      <c r="M148" s="104"/>
      <c r="P148" s="79"/>
      <c r="S148" s="79"/>
      <c r="V148" s="79"/>
    </row>
    <row r="149" spans="7:22" x14ac:dyDescent="0.2">
      <c r="G149" s="79"/>
      <c r="J149" s="79"/>
      <c r="M149" s="104"/>
      <c r="P149" s="79"/>
      <c r="S149" s="79"/>
      <c r="V149" s="79"/>
    </row>
    <row r="150" spans="7:22" x14ac:dyDescent="0.2">
      <c r="G150" s="79"/>
      <c r="J150" s="79"/>
      <c r="M150" s="104"/>
      <c r="P150" s="79"/>
      <c r="S150" s="79"/>
      <c r="V150" s="79"/>
    </row>
    <row r="151" spans="7:22" x14ac:dyDescent="0.2">
      <c r="G151" s="79"/>
      <c r="J151" s="79"/>
      <c r="M151" s="104"/>
      <c r="P151" s="79"/>
      <c r="S151" s="79"/>
      <c r="V151" s="79"/>
    </row>
    <row r="152" spans="7:22" x14ac:dyDescent="0.2">
      <c r="G152" s="79"/>
      <c r="J152" s="79"/>
      <c r="M152" s="104"/>
      <c r="P152" s="79"/>
      <c r="S152" s="79"/>
      <c r="V152" s="79"/>
    </row>
    <row r="153" spans="7:22" x14ac:dyDescent="0.2">
      <c r="G153" s="79"/>
      <c r="J153" s="79"/>
      <c r="M153" s="104"/>
      <c r="P153" s="79"/>
      <c r="S153" s="79"/>
      <c r="V153" s="79"/>
    </row>
    <row r="154" spans="7:22" x14ac:dyDescent="0.2">
      <c r="G154" s="79"/>
      <c r="J154" s="79"/>
      <c r="M154" s="104"/>
      <c r="P154" s="79"/>
      <c r="S154" s="79"/>
      <c r="V154" s="79"/>
    </row>
    <row r="155" spans="7:22" x14ac:dyDescent="0.2">
      <c r="G155" s="79"/>
      <c r="J155" s="79"/>
      <c r="M155" s="104"/>
      <c r="P155" s="79"/>
      <c r="S155" s="79"/>
      <c r="V155" s="79"/>
    </row>
    <row r="156" spans="7:22" x14ac:dyDescent="0.2">
      <c r="G156" s="79"/>
      <c r="J156" s="79"/>
      <c r="M156" s="104"/>
      <c r="P156" s="79"/>
      <c r="S156" s="79"/>
      <c r="V156" s="79"/>
    </row>
    <row r="157" spans="7:22" x14ac:dyDescent="0.2">
      <c r="G157" s="79"/>
      <c r="J157" s="79"/>
      <c r="M157" s="104"/>
      <c r="P157" s="79"/>
      <c r="S157" s="79"/>
      <c r="V157" s="79"/>
    </row>
    <row r="158" spans="7:22" x14ac:dyDescent="0.2">
      <c r="G158" s="79"/>
      <c r="J158" s="79"/>
      <c r="M158" s="104"/>
      <c r="P158" s="79"/>
      <c r="S158" s="79"/>
      <c r="V158" s="79"/>
    </row>
    <row r="159" spans="7:22" x14ac:dyDescent="0.2">
      <c r="G159" s="79"/>
      <c r="J159" s="79"/>
      <c r="M159" s="104"/>
      <c r="P159" s="79"/>
      <c r="S159" s="79"/>
      <c r="V159" s="79"/>
    </row>
    <row r="160" spans="7:22" x14ac:dyDescent="0.2">
      <c r="G160" s="79"/>
      <c r="J160" s="79"/>
      <c r="M160" s="104"/>
      <c r="P160" s="79"/>
      <c r="S160" s="79"/>
      <c r="V160" s="79"/>
    </row>
    <row r="161" spans="7:22" x14ac:dyDescent="0.2">
      <c r="G161" s="79"/>
      <c r="J161" s="79"/>
      <c r="M161" s="104"/>
      <c r="P161" s="79"/>
      <c r="S161" s="79"/>
      <c r="V161" s="79"/>
    </row>
    <row r="162" spans="7:22" x14ac:dyDescent="0.2">
      <c r="G162" s="79"/>
      <c r="J162" s="79"/>
      <c r="M162" s="104"/>
      <c r="P162" s="79"/>
      <c r="S162" s="79"/>
      <c r="V162" s="79"/>
    </row>
    <row r="163" spans="7:22" x14ac:dyDescent="0.2">
      <c r="G163" s="79"/>
      <c r="J163" s="79"/>
      <c r="M163" s="104"/>
      <c r="P163" s="79"/>
      <c r="S163" s="79"/>
      <c r="V163" s="79"/>
    </row>
    <row r="164" spans="7:22" x14ac:dyDescent="0.2">
      <c r="G164" s="79"/>
      <c r="J164" s="79"/>
      <c r="M164" s="104"/>
      <c r="P164" s="79"/>
      <c r="S164" s="79"/>
      <c r="V164" s="79"/>
    </row>
    <row r="165" spans="7:22" x14ac:dyDescent="0.2">
      <c r="G165" s="79"/>
      <c r="J165" s="79"/>
      <c r="M165" s="104"/>
      <c r="P165" s="79"/>
      <c r="S165" s="79"/>
      <c r="V165" s="79"/>
    </row>
    <row r="166" spans="7:22" x14ac:dyDescent="0.2">
      <c r="G166" s="79"/>
      <c r="J166" s="79"/>
      <c r="M166" s="104"/>
      <c r="P166" s="79"/>
      <c r="S166" s="79"/>
      <c r="V166" s="79"/>
    </row>
    <row r="167" spans="7:22" x14ac:dyDescent="0.2">
      <c r="G167" s="79"/>
      <c r="J167" s="79"/>
      <c r="M167" s="104"/>
      <c r="P167" s="79"/>
      <c r="S167" s="79"/>
      <c r="V167" s="79"/>
    </row>
    <row r="168" spans="7:22" x14ac:dyDescent="0.2">
      <c r="G168" s="79"/>
      <c r="J168" s="79"/>
      <c r="M168" s="104"/>
      <c r="P168" s="79"/>
      <c r="S168" s="79"/>
      <c r="V168" s="79"/>
    </row>
    <row r="169" spans="7:22" x14ac:dyDescent="0.2">
      <c r="G169" s="79"/>
      <c r="J169" s="79"/>
      <c r="M169" s="104"/>
      <c r="P169" s="79"/>
      <c r="S169" s="79"/>
      <c r="V169" s="79"/>
    </row>
    <row r="170" spans="7:22" x14ac:dyDescent="0.2">
      <c r="G170" s="79"/>
      <c r="J170" s="79"/>
      <c r="M170" s="104"/>
      <c r="P170" s="79"/>
      <c r="S170" s="79"/>
      <c r="V170" s="79"/>
    </row>
    <row r="171" spans="7:22" x14ac:dyDescent="0.2">
      <c r="G171" s="79"/>
      <c r="J171" s="79"/>
      <c r="M171" s="104"/>
      <c r="P171" s="79"/>
      <c r="S171" s="79"/>
      <c r="V171" s="79"/>
    </row>
    <row r="172" spans="7:22" x14ac:dyDescent="0.2">
      <c r="G172" s="79"/>
      <c r="J172" s="79"/>
      <c r="M172" s="104"/>
      <c r="P172" s="79"/>
      <c r="S172" s="79"/>
      <c r="V172" s="79"/>
    </row>
    <row r="173" spans="7:22" x14ac:dyDescent="0.2">
      <c r="G173" s="79"/>
      <c r="J173" s="79"/>
      <c r="M173" s="104"/>
      <c r="P173" s="79"/>
      <c r="S173" s="79"/>
      <c r="V173" s="79"/>
    </row>
    <row r="174" spans="7:22" x14ac:dyDescent="0.2">
      <c r="G174" s="79"/>
      <c r="J174" s="79"/>
      <c r="M174" s="104"/>
      <c r="P174" s="79"/>
      <c r="S174" s="79"/>
      <c r="V174" s="79"/>
    </row>
    <row r="175" spans="7:22" x14ac:dyDescent="0.2">
      <c r="G175" s="79"/>
      <c r="J175" s="79"/>
      <c r="M175" s="104"/>
      <c r="P175" s="79"/>
      <c r="S175" s="79"/>
      <c r="V175" s="79"/>
    </row>
    <row r="176" spans="7:22" x14ac:dyDescent="0.2">
      <c r="G176" s="79"/>
      <c r="J176" s="79"/>
      <c r="M176" s="104"/>
      <c r="P176" s="79"/>
      <c r="S176" s="79"/>
      <c r="V176" s="79"/>
    </row>
    <row r="177" spans="7:22" x14ac:dyDescent="0.2">
      <c r="G177" s="79"/>
      <c r="J177" s="79"/>
      <c r="M177" s="104"/>
      <c r="P177" s="79"/>
      <c r="S177" s="79"/>
      <c r="V177" s="79"/>
    </row>
    <row r="178" spans="7:22" x14ac:dyDescent="0.2">
      <c r="G178" s="79"/>
      <c r="J178" s="79"/>
      <c r="M178" s="104"/>
      <c r="P178" s="79"/>
      <c r="S178" s="79"/>
      <c r="V178" s="79"/>
    </row>
    <row r="179" spans="7:22" x14ac:dyDescent="0.2">
      <c r="G179" s="79"/>
      <c r="J179" s="79"/>
      <c r="M179" s="104"/>
      <c r="P179" s="79"/>
      <c r="S179" s="79"/>
      <c r="V179" s="79"/>
    </row>
    <row r="180" spans="7:22" x14ac:dyDescent="0.2">
      <c r="G180" s="79"/>
      <c r="J180" s="79"/>
      <c r="M180" s="104"/>
      <c r="P180" s="79"/>
      <c r="S180" s="79"/>
      <c r="V180" s="79"/>
    </row>
    <row r="181" spans="7:22" x14ac:dyDescent="0.2">
      <c r="G181" s="79"/>
      <c r="J181" s="79"/>
      <c r="M181" s="104"/>
      <c r="P181" s="79"/>
      <c r="S181" s="79"/>
      <c r="V181" s="79"/>
    </row>
    <row r="182" spans="7:22" x14ac:dyDescent="0.2">
      <c r="G182" s="79"/>
      <c r="J182" s="79"/>
      <c r="M182" s="104"/>
      <c r="P182" s="79"/>
      <c r="S182" s="79"/>
      <c r="V182" s="79"/>
    </row>
    <row r="183" spans="7:22" x14ac:dyDescent="0.2">
      <c r="G183" s="79"/>
      <c r="J183" s="79"/>
      <c r="M183" s="104"/>
      <c r="P183" s="79"/>
      <c r="S183" s="79"/>
      <c r="V183" s="79"/>
    </row>
    <row r="184" spans="7:22" x14ac:dyDescent="0.2">
      <c r="G184" s="79"/>
      <c r="J184" s="79"/>
      <c r="M184" s="104"/>
      <c r="P184" s="79"/>
      <c r="S184" s="79"/>
      <c r="V184" s="79"/>
    </row>
    <row r="185" spans="7:22" x14ac:dyDescent="0.2">
      <c r="G185" s="79"/>
      <c r="J185" s="79"/>
      <c r="M185" s="104"/>
      <c r="P185" s="79"/>
      <c r="S185" s="79"/>
      <c r="V185" s="79"/>
    </row>
    <row r="186" spans="7:22" x14ac:dyDescent="0.2">
      <c r="G186" s="79"/>
      <c r="J186" s="79"/>
      <c r="M186" s="104"/>
      <c r="P186" s="79"/>
      <c r="S186" s="79"/>
      <c r="V186" s="79"/>
    </row>
    <row r="187" spans="7:22" x14ac:dyDescent="0.2">
      <c r="G187" s="79"/>
      <c r="J187" s="79"/>
      <c r="M187" s="104"/>
      <c r="P187" s="79"/>
      <c r="S187" s="79"/>
      <c r="V187" s="79"/>
    </row>
    <row r="188" spans="7:22" x14ac:dyDescent="0.2">
      <c r="G188" s="79"/>
      <c r="J188" s="79"/>
      <c r="M188" s="104"/>
      <c r="P188" s="79"/>
      <c r="S188" s="79"/>
      <c r="V188" s="79"/>
    </row>
    <row r="189" spans="7:22" x14ac:dyDescent="0.2">
      <c r="G189" s="79"/>
      <c r="J189" s="79"/>
      <c r="M189" s="104"/>
      <c r="P189" s="79"/>
      <c r="S189" s="79"/>
      <c r="V189" s="79"/>
    </row>
    <row r="190" spans="7:22" x14ac:dyDescent="0.2">
      <c r="G190" s="79"/>
      <c r="J190" s="79"/>
      <c r="M190" s="104"/>
      <c r="P190" s="79"/>
      <c r="S190" s="79"/>
      <c r="V190" s="79"/>
    </row>
    <row r="191" spans="7:22" x14ac:dyDescent="0.2">
      <c r="G191" s="79"/>
      <c r="J191" s="79"/>
      <c r="M191" s="104"/>
      <c r="P191" s="79"/>
      <c r="S191" s="79"/>
      <c r="V191" s="79"/>
    </row>
    <row r="192" spans="7:22" x14ac:dyDescent="0.2">
      <c r="G192" s="79"/>
      <c r="J192" s="79"/>
      <c r="M192" s="104"/>
      <c r="P192" s="79"/>
      <c r="S192" s="79"/>
      <c r="V192" s="79"/>
    </row>
    <row r="193" spans="7:22" x14ac:dyDescent="0.2">
      <c r="G193" s="79"/>
      <c r="J193" s="79"/>
      <c r="M193" s="104"/>
      <c r="P193" s="79"/>
      <c r="S193" s="79"/>
      <c r="V193" s="79"/>
    </row>
    <row r="194" spans="7:22" x14ac:dyDescent="0.2">
      <c r="G194" s="79"/>
      <c r="J194" s="79"/>
      <c r="M194" s="104"/>
      <c r="P194" s="79"/>
      <c r="S194" s="79"/>
      <c r="V194" s="79"/>
    </row>
    <row r="195" spans="7:22" x14ac:dyDescent="0.2">
      <c r="G195" s="79"/>
      <c r="J195" s="79"/>
      <c r="M195" s="104"/>
      <c r="P195" s="79"/>
      <c r="S195" s="79"/>
      <c r="V195" s="79"/>
    </row>
    <row r="196" spans="7:22" x14ac:dyDescent="0.2">
      <c r="G196" s="79"/>
      <c r="J196" s="79"/>
      <c r="M196" s="104"/>
      <c r="P196" s="79"/>
      <c r="S196" s="79"/>
      <c r="V196" s="79"/>
    </row>
    <row r="197" spans="7:22" x14ac:dyDescent="0.2">
      <c r="G197" s="79"/>
      <c r="J197" s="79"/>
      <c r="M197" s="104"/>
      <c r="P197" s="79"/>
      <c r="S197" s="79"/>
      <c r="V197" s="79"/>
    </row>
    <row r="198" spans="7:22" x14ac:dyDescent="0.2">
      <c r="G198" s="79"/>
      <c r="J198" s="79"/>
      <c r="M198" s="104"/>
      <c r="P198" s="79"/>
      <c r="S198" s="79"/>
      <c r="V198" s="79"/>
    </row>
    <row r="199" spans="7:22" x14ac:dyDescent="0.2">
      <c r="G199" s="79"/>
      <c r="J199" s="79"/>
      <c r="M199" s="104"/>
      <c r="P199" s="79"/>
      <c r="S199" s="79"/>
      <c r="V199" s="79"/>
    </row>
    <row r="200" spans="7:22" x14ac:dyDescent="0.2">
      <c r="G200" s="79"/>
      <c r="J200" s="79"/>
      <c r="M200" s="104"/>
      <c r="P200" s="79"/>
      <c r="S200" s="79"/>
      <c r="V200" s="79"/>
    </row>
    <row r="201" spans="7:22" x14ac:dyDescent="0.2">
      <c r="G201" s="79"/>
      <c r="J201" s="79"/>
      <c r="M201" s="104"/>
      <c r="P201" s="79"/>
      <c r="S201" s="79"/>
      <c r="V201" s="79"/>
    </row>
    <row r="202" spans="7:22" x14ac:dyDescent="0.2">
      <c r="G202" s="79"/>
      <c r="J202" s="79"/>
      <c r="M202" s="104"/>
      <c r="P202" s="79"/>
      <c r="S202" s="79"/>
      <c r="V202" s="79"/>
    </row>
    <row r="203" spans="7:22" x14ac:dyDescent="0.2">
      <c r="G203" s="79"/>
      <c r="J203" s="79"/>
      <c r="M203" s="104"/>
      <c r="P203" s="79"/>
      <c r="S203" s="79"/>
      <c r="V203" s="79"/>
    </row>
    <row r="204" spans="7:22" x14ac:dyDescent="0.2">
      <c r="G204" s="79"/>
      <c r="J204" s="79"/>
      <c r="M204" s="104"/>
      <c r="P204" s="79"/>
      <c r="S204" s="79"/>
      <c r="V204" s="79"/>
    </row>
    <row r="205" spans="7:22" x14ac:dyDescent="0.2">
      <c r="G205" s="79"/>
      <c r="J205" s="79"/>
      <c r="M205" s="104"/>
      <c r="P205" s="79"/>
      <c r="S205" s="79"/>
      <c r="V205" s="79"/>
    </row>
    <row r="206" spans="7:22" x14ac:dyDescent="0.2">
      <c r="G206" s="79"/>
      <c r="J206" s="79"/>
      <c r="M206" s="104"/>
      <c r="P206" s="79"/>
      <c r="S206" s="79"/>
      <c r="V206" s="79"/>
    </row>
    <row r="207" spans="7:22" x14ac:dyDescent="0.2">
      <c r="G207" s="79"/>
      <c r="J207" s="79"/>
      <c r="M207" s="104"/>
      <c r="P207" s="79"/>
      <c r="S207" s="79"/>
      <c r="V207" s="79"/>
    </row>
    <row r="208" spans="7:22" x14ac:dyDescent="0.2">
      <c r="G208" s="79"/>
      <c r="J208" s="79"/>
      <c r="M208" s="104"/>
      <c r="P208" s="79"/>
      <c r="S208" s="79"/>
      <c r="V208" s="79"/>
    </row>
    <row r="209" spans="7:22" x14ac:dyDescent="0.2">
      <c r="G209" s="79"/>
      <c r="J209" s="79"/>
      <c r="M209" s="104"/>
      <c r="P209" s="79"/>
      <c r="S209" s="79"/>
      <c r="V209" s="79"/>
    </row>
    <row r="210" spans="7:22" x14ac:dyDescent="0.2">
      <c r="G210" s="79"/>
      <c r="J210" s="79"/>
      <c r="M210" s="104"/>
      <c r="P210" s="79"/>
      <c r="S210" s="79"/>
      <c r="V210" s="79"/>
    </row>
    <row r="211" spans="7:22" x14ac:dyDescent="0.2">
      <c r="G211" s="79"/>
      <c r="J211" s="79"/>
      <c r="M211" s="104"/>
      <c r="P211" s="79"/>
      <c r="S211" s="79"/>
      <c r="V211" s="79"/>
    </row>
    <row r="212" spans="7:22" x14ac:dyDescent="0.2">
      <c r="G212" s="79"/>
      <c r="J212" s="79"/>
      <c r="M212" s="104"/>
      <c r="P212" s="79"/>
      <c r="S212" s="79"/>
      <c r="V212" s="79"/>
    </row>
    <row r="213" spans="7:22" x14ac:dyDescent="0.2">
      <c r="G213" s="79"/>
      <c r="J213" s="79"/>
      <c r="M213" s="104"/>
      <c r="P213" s="79"/>
      <c r="S213" s="79"/>
      <c r="V213" s="79"/>
    </row>
    <row r="214" spans="7:22" x14ac:dyDescent="0.2">
      <c r="G214" s="79"/>
      <c r="J214" s="79"/>
      <c r="M214" s="104"/>
      <c r="P214" s="79"/>
      <c r="S214" s="79"/>
      <c r="V214" s="79"/>
    </row>
    <row r="215" spans="7:22" x14ac:dyDescent="0.2">
      <c r="G215" s="79"/>
      <c r="J215" s="79"/>
      <c r="M215" s="104"/>
      <c r="P215" s="79"/>
      <c r="S215" s="79"/>
      <c r="V215" s="79"/>
    </row>
    <row r="216" spans="7:22" x14ac:dyDescent="0.2">
      <c r="G216" s="79"/>
      <c r="J216" s="79"/>
      <c r="M216" s="104"/>
      <c r="P216" s="79"/>
      <c r="S216" s="79"/>
      <c r="V216" s="79"/>
    </row>
    <row r="217" spans="7:22" x14ac:dyDescent="0.2">
      <c r="G217" s="79"/>
      <c r="J217" s="79"/>
      <c r="M217" s="104"/>
      <c r="P217" s="79"/>
      <c r="S217" s="79"/>
      <c r="V217" s="79"/>
    </row>
    <row r="218" spans="7:22" x14ac:dyDescent="0.2">
      <c r="G218" s="79"/>
      <c r="J218" s="79"/>
      <c r="M218" s="104"/>
      <c r="P218" s="79"/>
      <c r="S218" s="79"/>
      <c r="V218" s="79"/>
    </row>
    <row r="219" spans="7:22" x14ac:dyDescent="0.2">
      <c r="G219" s="79"/>
      <c r="J219" s="79"/>
      <c r="M219" s="104"/>
      <c r="P219" s="79"/>
      <c r="S219" s="79"/>
      <c r="V219" s="79"/>
    </row>
    <row r="220" spans="7:22" x14ac:dyDescent="0.2">
      <c r="G220" s="79"/>
      <c r="J220" s="79"/>
      <c r="M220" s="104"/>
      <c r="P220" s="79"/>
      <c r="S220" s="79"/>
      <c r="V220" s="79"/>
    </row>
    <row r="221" spans="7:22" x14ac:dyDescent="0.2">
      <c r="G221" s="79"/>
      <c r="J221" s="79"/>
      <c r="M221" s="104"/>
      <c r="P221" s="79"/>
      <c r="S221" s="79"/>
      <c r="V221" s="79"/>
    </row>
    <row r="222" spans="7:22" x14ac:dyDescent="0.2">
      <c r="G222" s="79"/>
      <c r="J222" s="79"/>
      <c r="M222" s="104"/>
      <c r="P222" s="79"/>
      <c r="S222" s="79"/>
      <c r="V222" s="79"/>
    </row>
    <row r="223" spans="7:22" x14ac:dyDescent="0.2">
      <c r="G223" s="79"/>
      <c r="J223" s="79"/>
      <c r="M223" s="104"/>
      <c r="P223" s="79"/>
      <c r="S223" s="79"/>
      <c r="V223" s="79"/>
    </row>
    <row r="224" spans="7:22" x14ac:dyDescent="0.2">
      <c r="G224" s="79"/>
      <c r="J224" s="79"/>
      <c r="M224" s="104"/>
      <c r="P224" s="79"/>
      <c r="S224" s="79"/>
      <c r="V224" s="79"/>
    </row>
    <row r="225" spans="7:22" x14ac:dyDescent="0.2">
      <c r="G225" s="79"/>
      <c r="J225" s="79"/>
      <c r="M225" s="104"/>
      <c r="P225" s="79"/>
      <c r="S225" s="79"/>
      <c r="V225" s="79"/>
    </row>
    <row r="226" spans="7:22" x14ac:dyDescent="0.2">
      <c r="G226" s="79"/>
      <c r="J226" s="79"/>
      <c r="M226" s="104"/>
      <c r="P226" s="79"/>
      <c r="S226" s="79"/>
      <c r="V226" s="79"/>
    </row>
    <row r="227" spans="7:22" x14ac:dyDescent="0.2">
      <c r="G227" s="79"/>
      <c r="J227" s="79"/>
      <c r="M227" s="104"/>
      <c r="P227" s="79"/>
      <c r="S227" s="79"/>
      <c r="V227" s="79"/>
    </row>
    <row r="228" spans="7:22" x14ac:dyDescent="0.2">
      <c r="G228" s="79"/>
      <c r="J228" s="79"/>
      <c r="M228" s="104"/>
      <c r="P228" s="79"/>
      <c r="S228" s="79"/>
      <c r="V228" s="79"/>
    </row>
    <row r="229" spans="7:22" x14ac:dyDescent="0.2">
      <c r="G229" s="79"/>
      <c r="J229" s="79"/>
      <c r="M229" s="104"/>
      <c r="P229" s="79"/>
      <c r="S229" s="79"/>
      <c r="V229" s="79"/>
    </row>
    <row r="230" spans="7:22" x14ac:dyDescent="0.2">
      <c r="G230" s="79"/>
      <c r="J230" s="79"/>
      <c r="M230" s="104"/>
      <c r="P230" s="79"/>
      <c r="S230" s="79"/>
      <c r="V230" s="79"/>
    </row>
    <row r="231" spans="7:22" x14ac:dyDescent="0.2">
      <c r="G231" s="79"/>
      <c r="J231" s="79"/>
      <c r="M231" s="104"/>
      <c r="P231" s="79"/>
      <c r="S231" s="79"/>
      <c r="V231" s="79"/>
    </row>
    <row r="232" spans="7:22" x14ac:dyDescent="0.2">
      <c r="G232" s="79"/>
      <c r="J232" s="79"/>
      <c r="M232" s="104"/>
      <c r="P232" s="79"/>
      <c r="S232" s="79"/>
      <c r="V232" s="79"/>
    </row>
    <row r="233" spans="7:22" x14ac:dyDescent="0.2">
      <c r="G233" s="79"/>
      <c r="J233" s="79"/>
      <c r="M233" s="104"/>
      <c r="P233" s="79"/>
      <c r="S233" s="79"/>
      <c r="V233" s="79"/>
    </row>
    <row r="234" spans="7:22" x14ac:dyDescent="0.2">
      <c r="G234" s="79"/>
      <c r="J234" s="79"/>
      <c r="M234" s="104"/>
      <c r="P234" s="79"/>
      <c r="S234" s="79"/>
      <c r="V234" s="79"/>
    </row>
    <row r="235" spans="7:22" x14ac:dyDescent="0.2">
      <c r="G235" s="79"/>
      <c r="J235" s="79"/>
      <c r="M235" s="104"/>
      <c r="P235" s="79"/>
      <c r="S235" s="79"/>
      <c r="V235" s="79"/>
    </row>
    <row r="236" spans="7:22" x14ac:dyDescent="0.2">
      <c r="G236" s="79"/>
      <c r="J236" s="79"/>
      <c r="M236" s="104"/>
      <c r="P236" s="79"/>
      <c r="S236" s="79"/>
      <c r="V236" s="79"/>
    </row>
    <row r="237" spans="7:22" x14ac:dyDescent="0.2">
      <c r="G237" s="79"/>
      <c r="J237" s="79"/>
      <c r="M237" s="104"/>
      <c r="P237" s="79"/>
      <c r="S237" s="79"/>
      <c r="V237" s="79"/>
    </row>
    <row r="238" spans="7:22" x14ac:dyDescent="0.2">
      <c r="G238" s="79"/>
      <c r="J238" s="79"/>
      <c r="M238" s="104"/>
      <c r="P238" s="79"/>
      <c r="S238" s="79"/>
      <c r="V238" s="79"/>
    </row>
    <row r="239" spans="7:22" x14ac:dyDescent="0.2">
      <c r="G239" s="79"/>
      <c r="J239" s="79"/>
      <c r="M239" s="104"/>
      <c r="P239" s="79"/>
      <c r="S239" s="79"/>
      <c r="V239" s="79"/>
    </row>
    <row r="240" spans="7:22" x14ac:dyDescent="0.2">
      <c r="G240" s="79"/>
      <c r="J240" s="79"/>
      <c r="M240" s="104"/>
      <c r="P240" s="79"/>
      <c r="S240" s="79"/>
      <c r="V240" s="79"/>
    </row>
    <row r="241" spans="7:22" x14ac:dyDescent="0.2">
      <c r="G241" s="79"/>
      <c r="J241" s="79"/>
      <c r="M241" s="104"/>
      <c r="P241" s="79"/>
      <c r="S241" s="79"/>
      <c r="V241" s="79"/>
    </row>
    <row r="242" spans="7:22" x14ac:dyDescent="0.2">
      <c r="G242" s="79"/>
      <c r="J242" s="79"/>
      <c r="M242" s="104"/>
      <c r="P242" s="79"/>
      <c r="S242" s="79"/>
      <c r="V242" s="79"/>
    </row>
    <row r="243" spans="7:22" x14ac:dyDescent="0.2">
      <c r="G243" s="79"/>
      <c r="J243" s="79"/>
      <c r="M243" s="104"/>
      <c r="P243" s="79"/>
      <c r="S243" s="79"/>
      <c r="V243" s="79"/>
    </row>
    <row r="244" spans="7:22" x14ac:dyDescent="0.2">
      <c r="G244" s="79"/>
      <c r="J244" s="79"/>
      <c r="M244" s="104"/>
      <c r="P244" s="79"/>
      <c r="S244" s="79"/>
      <c r="V244" s="79"/>
    </row>
    <row r="245" spans="7:22" x14ac:dyDescent="0.2">
      <c r="G245" s="79"/>
      <c r="J245" s="79"/>
      <c r="M245" s="104"/>
      <c r="P245" s="79"/>
      <c r="S245" s="79"/>
      <c r="V245" s="79"/>
    </row>
    <row r="246" spans="7:22" x14ac:dyDescent="0.2">
      <c r="G246" s="79"/>
      <c r="J246" s="79"/>
      <c r="M246" s="104"/>
      <c r="P246" s="79"/>
      <c r="S246" s="79"/>
      <c r="V246" s="79"/>
    </row>
    <row r="247" spans="7:22" x14ac:dyDescent="0.2">
      <c r="G247" s="79"/>
      <c r="J247" s="79"/>
      <c r="M247" s="104"/>
      <c r="P247" s="79"/>
      <c r="S247" s="79"/>
      <c r="V247" s="79"/>
    </row>
    <row r="248" spans="7:22" x14ac:dyDescent="0.2">
      <c r="G248" s="79"/>
      <c r="J248" s="79"/>
      <c r="M248" s="104"/>
      <c r="P248" s="79"/>
      <c r="S248" s="79"/>
      <c r="V248" s="79"/>
    </row>
    <row r="249" spans="7:22" x14ac:dyDescent="0.2">
      <c r="G249" s="79"/>
      <c r="J249" s="79"/>
      <c r="M249" s="104"/>
      <c r="P249" s="79"/>
      <c r="S249" s="79"/>
      <c r="V249" s="79"/>
    </row>
    <row r="250" spans="7:22" x14ac:dyDescent="0.2">
      <c r="G250" s="79"/>
      <c r="J250" s="79"/>
      <c r="M250" s="104"/>
      <c r="P250" s="79"/>
      <c r="S250" s="79"/>
      <c r="V250" s="79"/>
    </row>
    <row r="251" spans="7:22" x14ac:dyDescent="0.2">
      <c r="G251" s="79"/>
      <c r="J251" s="79"/>
      <c r="M251" s="104"/>
      <c r="P251" s="79"/>
      <c r="S251" s="79"/>
      <c r="V251" s="79"/>
    </row>
    <row r="252" spans="7:22" x14ac:dyDescent="0.2">
      <c r="G252" s="79"/>
      <c r="J252" s="79"/>
      <c r="M252" s="104"/>
      <c r="P252" s="79"/>
      <c r="S252" s="79"/>
      <c r="V252" s="79"/>
    </row>
    <row r="253" spans="7:22" x14ac:dyDescent="0.2">
      <c r="G253" s="79"/>
      <c r="J253" s="79"/>
      <c r="M253" s="104"/>
      <c r="P253" s="79"/>
      <c r="S253" s="79"/>
      <c r="V253" s="79"/>
    </row>
    <row r="254" spans="7:22" x14ac:dyDescent="0.2">
      <c r="G254" s="79"/>
      <c r="J254" s="79"/>
      <c r="M254" s="104"/>
      <c r="P254" s="79"/>
      <c r="S254" s="79"/>
      <c r="V254" s="79"/>
    </row>
    <row r="255" spans="7:22" x14ac:dyDescent="0.2">
      <c r="G255" s="79"/>
      <c r="J255" s="79"/>
      <c r="M255" s="104"/>
      <c r="P255" s="79"/>
      <c r="S255" s="79"/>
      <c r="V255" s="79"/>
    </row>
    <row r="256" spans="7:22" x14ac:dyDescent="0.2">
      <c r="G256" s="79"/>
      <c r="J256" s="79"/>
      <c r="M256" s="104"/>
      <c r="P256" s="79"/>
      <c r="S256" s="79"/>
      <c r="V256" s="79"/>
    </row>
    <row r="257" spans="7:22" x14ac:dyDescent="0.2">
      <c r="G257" s="79"/>
      <c r="J257" s="79"/>
      <c r="M257" s="104"/>
      <c r="P257" s="79"/>
      <c r="S257" s="79"/>
      <c r="V257" s="79"/>
    </row>
    <row r="258" spans="7:22" x14ac:dyDescent="0.2">
      <c r="G258" s="79"/>
      <c r="J258" s="79"/>
      <c r="M258" s="104"/>
      <c r="P258" s="79"/>
      <c r="S258" s="79"/>
      <c r="V258" s="79"/>
    </row>
    <row r="259" spans="7:22" x14ac:dyDescent="0.2">
      <c r="G259" s="79"/>
      <c r="J259" s="79"/>
      <c r="M259" s="104"/>
      <c r="P259" s="79"/>
      <c r="S259" s="79"/>
      <c r="V259" s="79"/>
    </row>
    <row r="260" spans="7:22" x14ac:dyDescent="0.2">
      <c r="G260" s="79"/>
      <c r="J260" s="79"/>
      <c r="M260" s="104"/>
      <c r="P260" s="79"/>
      <c r="S260" s="79"/>
      <c r="V260" s="79"/>
    </row>
    <row r="261" spans="7:22" x14ac:dyDescent="0.2">
      <c r="G261" s="79"/>
      <c r="J261" s="79"/>
      <c r="M261" s="104"/>
      <c r="P261" s="79"/>
      <c r="S261" s="79"/>
      <c r="V261" s="79"/>
    </row>
    <row r="262" spans="7:22" x14ac:dyDescent="0.2">
      <c r="G262" s="79"/>
      <c r="J262" s="79"/>
      <c r="M262" s="104"/>
      <c r="P262" s="79"/>
      <c r="S262" s="79"/>
      <c r="V262" s="79"/>
    </row>
    <row r="263" spans="7:22" x14ac:dyDescent="0.2">
      <c r="G263" s="79"/>
      <c r="J263" s="79"/>
      <c r="M263" s="104"/>
      <c r="P263" s="79"/>
      <c r="S263" s="79"/>
      <c r="V263" s="79"/>
    </row>
    <row r="264" spans="7:22" x14ac:dyDescent="0.2">
      <c r="G264" s="79"/>
      <c r="J264" s="79"/>
      <c r="M264" s="104"/>
      <c r="P264" s="79"/>
      <c r="S264" s="79"/>
      <c r="V264" s="79"/>
    </row>
    <row r="265" spans="7:22" x14ac:dyDescent="0.2">
      <c r="G265" s="79"/>
      <c r="J265" s="79"/>
      <c r="M265" s="104"/>
      <c r="P265" s="79"/>
      <c r="S265" s="79"/>
      <c r="V265" s="79"/>
    </row>
    <row r="266" spans="7:22" x14ac:dyDescent="0.2">
      <c r="G266" s="79"/>
      <c r="J266" s="79"/>
      <c r="M266" s="104"/>
      <c r="P266" s="79"/>
      <c r="S266" s="79"/>
      <c r="V266" s="79"/>
    </row>
    <row r="267" spans="7:22" x14ac:dyDescent="0.2">
      <c r="G267" s="79"/>
      <c r="J267" s="79"/>
      <c r="M267" s="104"/>
      <c r="P267" s="79"/>
      <c r="S267" s="79"/>
      <c r="V267" s="79"/>
    </row>
    <row r="268" spans="7:22" x14ac:dyDescent="0.2">
      <c r="G268" s="79"/>
      <c r="J268" s="79"/>
      <c r="M268" s="104"/>
      <c r="P268" s="79"/>
      <c r="S268" s="79"/>
      <c r="V268" s="79"/>
    </row>
    <row r="269" spans="7:22" x14ac:dyDescent="0.2">
      <c r="G269" s="79"/>
      <c r="J269" s="79"/>
      <c r="M269" s="104"/>
      <c r="P269" s="79"/>
      <c r="S269" s="79"/>
      <c r="V269" s="79"/>
    </row>
    <row r="270" spans="7:22" x14ac:dyDescent="0.2">
      <c r="G270" s="79"/>
      <c r="J270" s="79"/>
      <c r="M270" s="104"/>
      <c r="P270" s="79"/>
      <c r="S270" s="79"/>
      <c r="V270" s="79"/>
    </row>
    <row r="271" spans="7:22" x14ac:dyDescent="0.2">
      <c r="G271" s="79"/>
      <c r="J271" s="79"/>
      <c r="M271" s="104"/>
      <c r="P271" s="79"/>
      <c r="S271" s="79"/>
      <c r="V271" s="79"/>
    </row>
    <row r="272" spans="7:22" x14ac:dyDescent="0.2">
      <c r="G272" s="79"/>
      <c r="J272" s="79"/>
      <c r="M272" s="104"/>
      <c r="P272" s="79"/>
      <c r="S272" s="79"/>
      <c r="V272" s="79"/>
    </row>
    <row r="273" spans="7:22" x14ac:dyDescent="0.2">
      <c r="G273" s="79"/>
      <c r="J273" s="79"/>
      <c r="M273" s="104"/>
      <c r="P273" s="79"/>
      <c r="S273" s="79"/>
      <c r="V273" s="79"/>
    </row>
    <row r="274" spans="7:22" x14ac:dyDescent="0.2">
      <c r="G274" s="79"/>
      <c r="J274" s="79"/>
      <c r="M274" s="104"/>
      <c r="P274" s="79"/>
      <c r="S274" s="79"/>
      <c r="V274" s="79"/>
    </row>
    <row r="275" spans="7:22" x14ac:dyDescent="0.2">
      <c r="G275" s="79"/>
      <c r="J275" s="79"/>
      <c r="M275" s="104"/>
      <c r="P275" s="79"/>
      <c r="S275" s="79"/>
      <c r="V275" s="79"/>
    </row>
    <row r="276" spans="7:22" x14ac:dyDescent="0.2">
      <c r="G276" s="79"/>
      <c r="J276" s="79"/>
      <c r="M276" s="104"/>
      <c r="P276" s="79"/>
      <c r="S276" s="79"/>
      <c r="V276" s="79"/>
    </row>
    <row r="277" spans="7:22" x14ac:dyDescent="0.2">
      <c r="G277" s="79"/>
      <c r="J277" s="79"/>
      <c r="M277" s="104"/>
      <c r="P277" s="79"/>
      <c r="S277" s="79"/>
      <c r="V277" s="79"/>
    </row>
    <row r="278" spans="7:22" x14ac:dyDescent="0.2">
      <c r="G278" s="79"/>
      <c r="J278" s="79"/>
      <c r="M278" s="104"/>
      <c r="P278" s="79"/>
      <c r="S278" s="79"/>
      <c r="V278" s="79"/>
    </row>
    <row r="279" spans="7:22" x14ac:dyDescent="0.2">
      <c r="G279" s="79"/>
      <c r="J279" s="79"/>
      <c r="M279" s="104"/>
      <c r="P279" s="79"/>
      <c r="S279" s="79"/>
      <c r="V279" s="79"/>
    </row>
    <row r="280" spans="7:22" x14ac:dyDescent="0.2">
      <c r="G280" s="79"/>
      <c r="J280" s="79"/>
      <c r="M280" s="104"/>
      <c r="P280" s="79"/>
      <c r="S280" s="79"/>
      <c r="V280" s="79"/>
    </row>
    <row r="281" spans="7:22" x14ac:dyDescent="0.2">
      <c r="G281" s="79"/>
      <c r="J281" s="79"/>
      <c r="M281" s="104"/>
      <c r="P281" s="79"/>
      <c r="S281" s="79"/>
      <c r="V281" s="79"/>
    </row>
    <row r="282" spans="7:22" x14ac:dyDescent="0.2">
      <c r="G282" s="79"/>
      <c r="J282" s="79"/>
      <c r="M282" s="104"/>
      <c r="P282" s="79"/>
      <c r="S282" s="79"/>
      <c r="V282" s="79"/>
    </row>
    <row r="283" spans="7:22" x14ac:dyDescent="0.2">
      <c r="G283" s="79"/>
      <c r="J283" s="79"/>
      <c r="M283" s="104"/>
      <c r="P283" s="79"/>
      <c r="S283" s="79"/>
      <c r="V283" s="79"/>
    </row>
    <row r="284" spans="7:22" x14ac:dyDescent="0.2">
      <c r="G284" s="79"/>
      <c r="J284" s="79"/>
      <c r="M284" s="104"/>
      <c r="P284" s="79"/>
      <c r="S284" s="79"/>
      <c r="V284" s="79"/>
    </row>
    <row r="285" spans="7:22" x14ac:dyDescent="0.2">
      <c r="G285" s="79"/>
      <c r="J285" s="79"/>
      <c r="M285" s="104"/>
      <c r="P285" s="79"/>
      <c r="S285" s="79"/>
      <c r="V285" s="79"/>
    </row>
    <row r="286" spans="7:22" x14ac:dyDescent="0.2">
      <c r="G286" s="79"/>
      <c r="J286" s="79"/>
      <c r="M286" s="104"/>
      <c r="P286" s="79"/>
      <c r="S286" s="79"/>
      <c r="V286" s="79"/>
    </row>
    <row r="287" spans="7:22" x14ac:dyDescent="0.2">
      <c r="G287" s="79"/>
      <c r="J287" s="79"/>
      <c r="M287" s="104"/>
      <c r="P287" s="79"/>
      <c r="S287" s="79"/>
      <c r="V287" s="79"/>
    </row>
    <row r="288" spans="7:22" x14ac:dyDescent="0.2">
      <c r="G288" s="79"/>
      <c r="J288" s="79"/>
      <c r="M288" s="104"/>
      <c r="P288" s="79"/>
      <c r="S288" s="79"/>
      <c r="V288" s="79"/>
    </row>
    <row r="289" spans="7:22" x14ac:dyDescent="0.2">
      <c r="G289" s="79"/>
      <c r="J289" s="79"/>
      <c r="M289" s="104"/>
      <c r="P289" s="79"/>
      <c r="S289" s="79"/>
      <c r="V289" s="79"/>
    </row>
    <row r="290" spans="7:22" x14ac:dyDescent="0.2">
      <c r="G290" s="79"/>
      <c r="J290" s="79"/>
      <c r="M290" s="104"/>
      <c r="P290" s="79"/>
      <c r="S290" s="79"/>
      <c r="V290" s="79"/>
    </row>
    <row r="291" spans="7:22" x14ac:dyDescent="0.2">
      <c r="G291" s="79"/>
      <c r="J291" s="79"/>
      <c r="M291" s="104"/>
      <c r="P291" s="79"/>
      <c r="S291" s="79"/>
      <c r="V291" s="79"/>
    </row>
    <row r="292" spans="7:22" x14ac:dyDescent="0.2">
      <c r="G292" s="79"/>
      <c r="J292" s="79"/>
      <c r="M292" s="104"/>
      <c r="P292" s="79"/>
      <c r="S292" s="79"/>
      <c r="V292" s="79"/>
    </row>
    <row r="293" spans="7:22" x14ac:dyDescent="0.2">
      <c r="G293" s="79"/>
      <c r="J293" s="79"/>
      <c r="M293" s="104"/>
      <c r="P293" s="79"/>
      <c r="S293" s="79"/>
      <c r="V293" s="79"/>
    </row>
    <row r="294" spans="7:22" x14ac:dyDescent="0.2">
      <c r="G294" s="79"/>
      <c r="J294" s="79"/>
      <c r="M294" s="104"/>
      <c r="P294" s="79"/>
      <c r="S294" s="79"/>
      <c r="V294" s="79"/>
    </row>
    <row r="295" spans="7:22" x14ac:dyDescent="0.2">
      <c r="G295" s="79"/>
      <c r="J295" s="79"/>
      <c r="M295" s="104"/>
      <c r="P295" s="79"/>
      <c r="S295" s="79"/>
      <c r="V295" s="79"/>
    </row>
    <row r="296" spans="7:22" x14ac:dyDescent="0.2">
      <c r="G296" s="79"/>
      <c r="J296" s="79"/>
      <c r="M296" s="104"/>
      <c r="P296" s="79"/>
      <c r="S296" s="79"/>
      <c r="V296" s="79"/>
    </row>
    <row r="297" spans="7:22" x14ac:dyDescent="0.2">
      <c r="G297" s="79"/>
      <c r="J297" s="79"/>
      <c r="M297" s="104"/>
      <c r="P297" s="79"/>
      <c r="S297" s="79"/>
      <c r="V297" s="79"/>
    </row>
    <row r="298" spans="7:22" x14ac:dyDescent="0.2">
      <c r="G298" s="79"/>
      <c r="J298" s="79"/>
      <c r="M298" s="104"/>
      <c r="P298" s="79"/>
      <c r="S298" s="79"/>
      <c r="V298" s="79"/>
    </row>
    <row r="299" spans="7:22" x14ac:dyDescent="0.2">
      <c r="G299" s="79"/>
      <c r="J299" s="79"/>
      <c r="M299" s="104"/>
      <c r="P299" s="79"/>
      <c r="S299" s="79"/>
      <c r="V299" s="79"/>
    </row>
    <row r="300" spans="7:22" x14ac:dyDescent="0.2">
      <c r="G300" s="79"/>
      <c r="J300" s="79"/>
      <c r="M300" s="104"/>
      <c r="P300" s="79"/>
      <c r="S300" s="79"/>
      <c r="V300" s="79"/>
    </row>
    <row r="301" spans="7:22" x14ac:dyDescent="0.2">
      <c r="G301" s="79"/>
      <c r="J301" s="79"/>
      <c r="M301" s="104"/>
      <c r="P301" s="79"/>
      <c r="S301" s="79"/>
      <c r="V301" s="79"/>
    </row>
    <row r="302" spans="7:22" x14ac:dyDescent="0.2">
      <c r="G302" s="79"/>
      <c r="J302" s="79"/>
      <c r="M302" s="104"/>
      <c r="P302" s="79"/>
      <c r="S302" s="79"/>
      <c r="V302" s="79"/>
    </row>
    <row r="303" spans="7:22" x14ac:dyDescent="0.2">
      <c r="G303" s="79"/>
      <c r="J303" s="79"/>
      <c r="M303" s="104"/>
      <c r="P303" s="79"/>
      <c r="S303" s="79"/>
      <c r="V303" s="79"/>
    </row>
    <row r="304" spans="7:22" x14ac:dyDescent="0.2">
      <c r="G304" s="79"/>
      <c r="J304" s="79"/>
      <c r="M304" s="104"/>
      <c r="P304" s="79"/>
      <c r="S304" s="79"/>
      <c r="V304" s="79"/>
    </row>
    <row r="305" spans="7:22" x14ac:dyDescent="0.2">
      <c r="G305" s="79"/>
      <c r="J305" s="79"/>
      <c r="M305" s="104"/>
      <c r="P305" s="79"/>
      <c r="S305" s="79"/>
      <c r="V305" s="79"/>
    </row>
    <row r="306" spans="7:22" x14ac:dyDescent="0.2">
      <c r="G306" s="79"/>
      <c r="J306" s="79"/>
      <c r="M306" s="104"/>
      <c r="P306" s="79"/>
      <c r="S306" s="79"/>
      <c r="V306" s="79"/>
    </row>
    <row r="307" spans="7:22" x14ac:dyDescent="0.2">
      <c r="G307" s="79"/>
      <c r="J307" s="79"/>
      <c r="M307" s="104"/>
      <c r="P307" s="79"/>
      <c r="S307" s="79"/>
      <c r="V307" s="79"/>
    </row>
    <row r="308" spans="7:22" x14ac:dyDescent="0.2">
      <c r="G308" s="79"/>
      <c r="J308" s="79"/>
      <c r="M308" s="104"/>
      <c r="P308" s="79"/>
      <c r="S308" s="79"/>
      <c r="V308" s="79"/>
    </row>
    <row r="309" spans="7:22" x14ac:dyDescent="0.2">
      <c r="G309" s="79"/>
      <c r="J309" s="79"/>
      <c r="M309" s="104"/>
      <c r="P309" s="79"/>
      <c r="S309" s="79"/>
      <c r="V309" s="79"/>
    </row>
    <row r="310" spans="7:22" x14ac:dyDescent="0.2">
      <c r="G310" s="79"/>
      <c r="J310" s="79"/>
      <c r="M310" s="104"/>
      <c r="P310" s="79"/>
      <c r="S310" s="79"/>
      <c r="V310" s="79"/>
    </row>
    <row r="311" spans="7:22" x14ac:dyDescent="0.2">
      <c r="G311" s="79"/>
      <c r="J311" s="79"/>
      <c r="M311" s="104"/>
      <c r="P311" s="79"/>
      <c r="S311" s="79"/>
      <c r="V311" s="79"/>
    </row>
    <row r="312" spans="7:22" x14ac:dyDescent="0.2">
      <c r="G312" s="79"/>
      <c r="J312" s="79"/>
      <c r="M312" s="104"/>
      <c r="P312" s="79"/>
      <c r="S312" s="79"/>
      <c r="V312" s="79"/>
    </row>
    <row r="313" spans="7:22" x14ac:dyDescent="0.2">
      <c r="G313" s="79"/>
      <c r="J313" s="79"/>
      <c r="M313" s="104"/>
      <c r="P313" s="79"/>
      <c r="S313" s="79"/>
      <c r="V313" s="79"/>
    </row>
    <row r="314" spans="7:22" x14ac:dyDescent="0.2">
      <c r="G314" s="79"/>
      <c r="J314" s="79"/>
      <c r="M314" s="104"/>
      <c r="P314" s="79"/>
      <c r="S314" s="79"/>
      <c r="V314" s="79"/>
    </row>
    <row r="315" spans="7:22" x14ac:dyDescent="0.2">
      <c r="G315" s="79"/>
      <c r="J315" s="79"/>
      <c r="M315" s="104"/>
      <c r="P315" s="79"/>
      <c r="S315" s="79"/>
      <c r="V315" s="79"/>
    </row>
    <row r="316" spans="7:22" x14ac:dyDescent="0.2">
      <c r="G316" s="79"/>
      <c r="J316" s="79"/>
      <c r="M316" s="104"/>
      <c r="P316" s="79"/>
      <c r="S316" s="79"/>
      <c r="V316" s="79"/>
    </row>
    <row r="317" spans="7:22" x14ac:dyDescent="0.2">
      <c r="G317" s="79"/>
      <c r="J317" s="79"/>
      <c r="M317" s="104"/>
      <c r="P317" s="79"/>
      <c r="S317" s="79"/>
      <c r="V317" s="79"/>
    </row>
    <row r="318" spans="7:22" x14ac:dyDescent="0.2">
      <c r="G318" s="79"/>
      <c r="J318" s="79"/>
      <c r="M318" s="104"/>
      <c r="P318" s="79"/>
      <c r="S318" s="79"/>
      <c r="V318" s="79"/>
    </row>
    <row r="319" spans="7:22" x14ac:dyDescent="0.2">
      <c r="G319" s="79"/>
      <c r="J319" s="79"/>
      <c r="M319" s="104"/>
      <c r="P319" s="79"/>
      <c r="S319" s="79"/>
      <c r="V319" s="79"/>
    </row>
    <row r="320" spans="7:22" x14ac:dyDescent="0.2">
      <c r="G320" s="79"/>
      <c r="J320" s="79"/>
      <c r="M320" s="104"/>
      <c r="P320" s="79"/>
      <c r="S320" s="79"/>
      <c r="V320" s="79"/>
    </row>
    <row r="321" spans="7:22" x14ac:dyDescent="0.2">
      <c r="G321" s="79"/>
      <c r="J321" s="79"/>
      <c r="M321" s="104"/>
      <c r="P321" s="79"/>
      <c r="S321" s="79"/>
      <c r="V321" s="79"/>
    </row>
    <row r="322" spans="7:22" x14ac:dyDescent="0.2">
      <c r="G322" s="79"/>
      <c r="J322" s="79"/>
      <c r="M322" s="104"/>
      <c r="P322" s="79"/>
      <c r="S322" s="79"/>
      <c r="V322" s="79"/>
    </row>
    <row r="323" spans="7:22" x14ac:dyDescent="0.2">
      <c r="G323" s="79"/>
      <c r="J323" s="79"/>
      <c r="M323" s="104"/>
      <c r="P323" s="79"/>
      <c r="S323" s="79"/>
      <c r="V323" s="79"/>
    </row>
    <row r="324" spans="7:22" x14ac:dyDescent="0.2">
      <c r="G324" s="79"/>
      <c r="J324" s="79"/>
      <c r="M324" s="104"/>
      <c r="P324" s="79"/>
      <c r="S324" s="79"/>
      <c r="V324" s="79"/>
    </row>
    <row r="325" spans="7:22" x14ac:dyDescent="0.2">
      <c r="G325" s="79"/>
      <c r="J325" s="79"/>
      <c r="M325" s="104"/>
      <c r="P325" s="79"/>
      <c r="S325" s="79"/>
      <c r="V325" s="79"/>
    </row>
    <row r="326" spans="7:22" x14ac:dyDescent="0.2">
      <c r="G326" s="79"/>
      <c r="J326" s="79"/>
      <c r="M326" s="104"/>
      <c r="P326" s="79"/>
      <c r="S326" s="79"/>
      <c r="V326" s="79"/>
    </row>
    <row r="327" spans="7:22" x14ac:dyDescent="0.2">
      <c r="G327" s="79"/>
      <c r="J327" s="79"/>
      <c r="M327" s="104"/>
      <c r="P327" s="79"/>
      <c r="S327" s="79"/>
      <c r="V327" s="79"/>
    </row>
    <row r="328" spans="7:22" x14ac:dyDescent="0.2">
      <c r="G328" s="79"/>
      <c r="J328" s="79"/>
      <c r="M328" s="104"/>
      <c r="P328" s="79"/>
      <c r="S328" s="79"/>
      <c r="V328" s="79"/>
    </row>
    <row r="329" spans="7:22" x14ac:dyDescent="0.2">
      <c r="G329" s="79"/>
      <c r="J329" s="79"/>
      <c r="M329" s="104"/>
      <c r="P329" s="79"/>
      <c r="S329" s="79"/>
      <c r="V329" s="79"/>
    </row>
    <row r="330" spans="7:22" x14ac:dyDescent="0.2">
      <c r="G330" s="79"/>
      <c r="J330" s="79"/>
      <c r="M330" s="104"/>
      <c r="P330" s="79"/>
      <c r="S330" s="79"/>
      <c r="V330" s="79"/>
    </row>
    <row r="331" spans="7:22" x14ac:dyDescent="0.2">
      <c r="G331" s="79"/>
      <c r="J331" s="79"/>
      <c r="M331" s="104"/>
      <c r="P331" s="79"/>
      <c r="S331" s="79"/>
      <c r="V331" s="79"/>
    </row>
    <row r="332" spans="7:22" x14ac:dyDescent="0.2">
      <c r="G332" s="79"/>
      <c r="J332" s="79"/>
      <c r="M332" s="104"/>
      <c r="P332" s="79"/>
      <c r="S332" s="79"/>
      <c r="V332" s="79"/>
    </row>
    <row r="333" spans="7:22" x14ac:dyDescent="0.2">
      <c r="G333" s="79"/>
      <c r="J333" s="79"/>
      <c r="M333" s="104"/>
      <c r="P333" s="79"/>
      <c r="S333" s="79"/>
      <c r="V333" s="79"/>
    </row>
    <row r="334" spans="7:22" x14ac:dyDescent="0.2">
      <c r="G334" s="79"/>
      <c r="J334" s="79"/>
      <c r="M334" s="104"/>
      <c r="P334" s="79"/>
      <c r="S334" s="79"/>
      <c r="V334" s="79"/>
    </row>
    <row r="335" spans="7:22" x14ac:dyDescent="0.2">
      <c r="G335" s="79"/>
      <c r="J335" s="79"/>
      <c r="M335" s="104"/>
      <c r="P335" s="79"/>
      <c r="S335" s="79"/>
      <c r="V335" s="79"/>
    </row>
    <row r="336" spans="7:22" x14ac:dyDescent="0.2">
      <c r="G336" s="79"/>
      <c r="J336" s="79"/>
      <c r="M336" s="104"/>
      <c r="P336" s="79"/>
      <c r="S336" s="79"/>
      <c r="V336" s="79"/>
    </row>
    <row r="337" spans="7:22" x14ac:dyDescent="0.2">
      <c r="G337" s="79"/>
      <c r="J337" s="79"/>
      <c r="M337" s="104"/>
      <c r="P337" s="79"/>
      <c r="S337" s="79"/>
      <c r="V337" s="79"/>
    </row>
    <row r="338" spans="7:22" x14ac:dyDescent="0.2">
      <c r="G338" s="79"/>
      <c r="J338" s="79"/>
      <c r="M338" s="104"/>
      <c r="P338" s="79"/>
      <c r="S338" s="79"/>
      <c r="V338" s="79"/>
    </row>
    <row r="339" spans="7:22" x14ac:dyDescent="0.2">
      <c r="G339" s="79"/>
      <c r="J339" s="79"/>
      <c r="M339" s="104"/>
      <c r="P339" s="79"/>
      <c r="S339" s="79"/>
      <c r="V339" s="79"/>
    </row>
    <row r="340" spans="7:22" x14ac:dyDescent="0.2">
      <c r="G340" s="79"/>
      <c r="J340" s="79"/>
      <c r="M340" s="104"/>
      <c r="P340" s="79"/>
      <c r="S340" s="79"/>
      <c r="V340" s="79"/>
    </row>
    <row r="341" spans="7:22" x14ac:dyDescent="0.2">
      <c r="G341" s="79"/>
      <c r="J341" s="79"/>
      <c r="M341" s="104"/>
      <c r="P341" s="79"/>
      <c r="S341" s="79"/>
      <c r="V341" s="79"/>
    </row>
    <row r="342" spans="7:22" x14ac:dyDescent="0.2">
      <c r="G342" s="79"/>
      <c r="J342" s="79"/>
      <c r="M342" s="104"/>
      <c r="P342" s="79"/>
      <c r="S342" s="79"/>
      <c r="V342" s="79"/>
    </row>
    <row r="343" spans="7:22" x14ac:dyDescent="0.2">
      <c r="G343" s="79"/>
      <c r="J343" s="79"/>
      <c r="M343" s="104"/>
      <c r="P343" s="79"/>
      <c r="S343" s="79"/>
      <c r="V343" s="79"/>
    </row>
    <row r="344" spans="7:22" x14ac:dyDescent="0.2">
      <c r="G344" s="79"/>
      <c r="J344" s="79"/>
      <c r="M344" s="104"/>
      <c r="P344" s="79"/>
      <c r="S344" s="79"/>
      <c r="V344" s="79"/>
    </row>
    <row r="345" spans="7:22" x14ac:dyDescent="0.2">
      <c r="G345" s="79"/>
      <c r="J345" s="79"/>
      <c r="M345" s="104"/>
      <c r="P345" s="79"/>
      <c r="S345" s="79"/>
      <c r="V345" s="79"/>
    </row>
    <row r="346" spans="7:22" x14ac:dyDescent="0.2">
      <c r="G346" s="79"/>
      <c r="J346" s="79"/>
      <c r="M346" s="104"/>
      <c r="P346" s="79"/>
      <c r="S346" s="79"/>
      <c r="V346" s="79"/>
    </row>
    <row r="347" spans="7:22" x14ac:dyDescent="0.2">
      <c r="G347" s="79"/>
      <c r="J347" s="79"/>
      <c r="M347" s="104"/>
      <c r="P347" s="79"/>
      <c r="S347" s="79"/>
      <c r="V347" s="79"/>
    </row>
    <row r="348" spans="7:22" x14ac:dyDescent="0.2">
      <c r="G348" s="79"/>
      <c r="J348" s="79"/>
      <c r="M348" s="104"/>
      <c r="P348" s="79"/>
      <c r="S348" s="79"/>
      <c r="V348" s="79"/>
    </row>
    <row r="349" spans="7:22" x14ac:dyDescent="0.2">
      <c r="G349" s="79"/>
      <c r="J349" s="79"/>
      <c r="M349" s="104"/>
      <c r="P349" s="79"/>
      <c r="S349" s="79"/>
      <c r="V349" s="79"/>
    </row>
    <row r="350" spans="7:22" x14ac:dyDescent="0.2">
      <c r="G350" s="79"/>
      <c r="J350" s="79"/>
      <c r="M350" s="104"/>
      <c r="P350" s="79"/>
      <c r="S350" s="79"/>
      <c r="V350" s="79"/>
    </row>
    <row r="351" spans="7:22" x14ac:dyDescent="0.2">
      <c r="G351" s="79"/>
      <c r="J351" s="79"/>
      <c r="M351" s="104"/>
      <c r="P351" s="79"/>
      <c r="S351" s="79"/>
      <c r="V351" s="79"/>
    </row>
    <row r="352" spans="7:22" x14ac:dyDescent="0.2">
      <c r="G352" s="79"/>
      <c r="J352" s="79"/>
      <c r="M352" s="104"/>
      <c r="P352" s="79"/>
      <c r="S352" s="79"/>
      <c r="V352" s="79"/>
    </row>
    <row r="353" spans="7:22" x14ac:dyDescent="0.2">
      <c r="G353" s="79"/>
      <c r="J353" s="79"/>
      <c r="M353" s="104"/>
      <c r="P353" s="79"/>
      <c r="S353" s="79"/>
      <c r="V353" s="79"/>
    </row>
    <row r="354" spans="7:22" x14ac:dyDescent="0.2">
      <c r="G354" s="79"/>
      <c r="J354" s="79"/>
      <c r="M354" s="104"/>
      <c r="P354" s="79"/>
      <c r="S354" s="79"/>
      <c r="V354" s="79"/>
    </row>
    <row r="355" spans="7:22" x14ac:dyDescent="0.2">
      <c r="G355" s="79"/>
      <c r="J355" s="79"/>
      <c r="M355" s="104"/>
      <c r="P355" s="79"/>
      <c r="S355" s="79"/>
      <c r="V355" s="79"/>
    </row>
    <row r="356" spans="7:22" x14ac:dyDescent="0.2">
      <c r="G356" s="79"/>
      <c r="J356" s="79"/>
      <c r="M356" s="104"/>
      <c r="P356" s="79"/>
      <c r="S356" s="79"/>
      <c r="V356" s="79"/>
    </row>
    <row r="357" spans="7:22" x14ac:dyDescent="0.2">
      <c r="G357" s="79"/>
      <c r="J357" s="79"/>
      <c r="M357" s="104"/>
      <c r="P357" s="79"/>
      <c r="S357" s="79"/>
      <c r="V357" s="79"/>
    </row>
    <row r="358" spans="7:22" x14ac:dyDescent="0.2">
      <c r="G358" s="79"/>
      <c r="J358" s="79"/>
      <c r="M358" s="104"/>
      <c r="P358" s="79"/>
      <c r="S358" s="79"/>
      <c r="V358" s="79"/>
    </row>
    <row r="359" spans="7:22" x14ac:dyDescent="0.2">
      <c r="G359" s="79"/>
      <c r="J359" s="79"/>
      <c r="M359" s="104"/>
      <c r="P359" s="79"/>
      <c r="S359" s="79"/>
      <c r="V359" s="79"/>
    </row>
    <row r="360" spans="7:22" x14ac:dyDescent="0.2">
      <c r="G360" s="79"/>
      <c r="J360" s="79"/>
      <c r="M360" s="104"/>
      <c r="P360" s="79"/>
      <c r="S360" s="79"/>
      <c r="V360" s="79"/>
    </row>
    <row r="361" spans="7:22" x14ac:dyDescent="0.2">
      <c r="G361" s="79"/>
      <c r="J361" s="79"/>
      <c r="M361" s="104"/>
      <c r="P361" s="79"/>
      <c r="S361" s="79"/>
      <c r="V361" s="79"/>
    </row>
    <row r="362" spans="7:22" x14ac:dyDescent="0.2">
      <c r="G362" s="79"/>
      <c r="J362" s="79"/>
      <c r="M362" s="104"/>
      <c r="P362" s="79"/>
      <c r="S362" s="79"/>
      <c r="V362" s="79"/>
    </row>
    <row r="363" spans="7:22" x14ac:dyDescent="0.2">
      <c r="G363" s="79"/>
      <c r="J363" s="79"/>
      <c r="M363" s="104"/>
      <c r="P363" s="79"/>
      <c r="S363" s="79"/>
      <c r="V363" s="79"/>
    </row>
    <row r="364" spans="7:22" x14ac:dyDescent="0.2">
      <c r="G364" s="79"/>
      <c r="J364" s="79"/>
      <c r="M364" s="104"/>
      <c r="P364" s="79"/>
      <c r="S364" s="79"/>
      <c r="V364" s="79"/>
    </row>
    <row r="365" spans="7:22" x14ac:dyDescent="0.2">
      <c r="G365" s="79"/>
      <c r="J365" s="79"/>
      <c r="M365" s="104"/>
      <c r="P365" s="79"/>
      <c r="S365" s="79"/>
      <c r="V365" s="79"/>
    </row>
    <row r="366" spans="7:22" x14ac:dyDescent="0.2">
      <c r="G366" s="79"/>
      <c r="J366" s="79"/>
      <c r="M366" s="104"/>
      <c r="P366" s="79"/>
      <c r="S366" s="79"/>
      <c r="V366" s="79"/>
    </row>
    <row r="367" spans="7:22" x14ac:dyDescent="0.2">
      <c r="G367" s="79"/>
      <c r="J367" s="79"/>
      <c r="M367" s="104"/>
      <c r="P367" s="79"/>
      <c r="S367" s="79"/>
      <c r="V367" s="79"/>
    </row>
    <row r="368" spans="7:22" x14ac:dyDescent="0.2">
      <c r="G368" s="79"/>
      <c r="J368" s="79"/>
      <c r="M368" s="104"/>
      <c r="P368" s="79"/>
      <c r="S368" s="79"/>
      <c r="V368" s="79"/>
    </row>
    <row r="369" spans="7:22" x14ac:dyDescent="0.2">
      <c r="G369" s="79"/>
      <c r="J369" s="79"/>
      <c r="M369" s="104"/>
      <c r="P369" s="79"/>
      <c r="S369" s="79"/>
      <c r="V369" s="79"/>
    </row>
    <row r="370" spans="7:22" x14ac:dyDescent="0.2">
      <c r="G370" s="79"/>
      <c r="J370" s="79"/>
      <c r="M370" s="104"/>
      <c r="P370" s="79"/>
      <c r="S370" s="79"/>
      <c r="V370" s="79"/>
    </row>
    <row r="371" spans="7:22" x14ac:dyDescent="0.2">
      <c r="G371" s="79"/>
      <c r="J371" s="79"/>
      <c r="M371" s="104"/>
      <c r="P371" s="79"/>
      <c r="S371" s="79"/>
      <c r="V371" s="79"/>
    </row>
    <row r="372" spans="7:22" x14ac:dyDescent="0.2">
      <c r="G372" s="79"/>
      <c r="J372" s="79"/>
      <c r="M372" s="104"/>
      <c r="P372" s="79"/>
      <c r="S372" s="79"/>
      <c r="V372" s="79"/>
    </row>
    <row r="373" spans="7:22" x14ac:dyDescent="0.2">
      <c r="G373" s="79"/>
      <c r="J373" s="79"/>
      <c r="M373" s="104"/>
      <c r="P373" s="79"/>
      <c r="S373" s="79"/>
      <c r="V373" s="79"/>
    </row>
    <row r="374" spans="7:22" x14ac:dyDescent="0.2">
      <c r="G374" s="79"/>
      <c r="J374" s="79"/>
      <c r="M374" s="104"/>
      <c r="P374" s="79"/>
      <c r="S374" s="79"/>
      <c r="V374" s="79"/>
    </row>
    <row r="375" spans="7:22" x14ac:dyDescent="0.2">
      <c r="G375" s="79"/>
      <c r="J375" s="79"/>
      <c r="M375" s="104"/>
      <c r="P375" s="79"/>
      <c r="S375" s="79"/>
      <c r="V375" s="79"/>
    </row>
    <row r="376" spans="7:22" x14ac:dyDescent="0.2">
      <c r="G376" s="79"/>
      <c r="J376" s="79"/>
      <c r="M376" s="104"/>
      <c r="P376" s="79"/>
      <c r="S376" s="79"/>
      <c r="V376" s="79"/>
    </row>
    <row r="377" spans="7:22" x14ac:dyDescent="0.2">
      <c r="G377" s="79"/>
      <c r="J377" s="79"/>
      <c r="M377" s="104"/>
      <c r="P377" s="79"/>
      <c r="S377" s="79"/>
      <c r="V377" s="79"/>
    </row>
    <row r="378" spans="7:22" x14ac:dyDescent="0.2">
      <c r="G378" s="79"/>
      <c r="J378" s="79"/>
      <c r="M378" s="104"/>
      <c r="P378" s="79"/>
      <c r="S378" s="79"/>
      <c r="V378" s="79"/>
    </row>
    <row r="379" spans="7:22" x14ac:dyDescent="0.2">
      <c r="G379" s="79"/>
      <c r="J379" s="79"/>
      <c r="M379" s="104"/>
      <c r="P379" s="79"/>
      <c r="S379" s="79"/>
      <c r="V379" s="79"/>
    </row>
    <row r="380" spans="7:22" x14ac:dyDescent="0.2">
      <c r="G380" s="79"/>
      <c r="J380" s="79"/>
      <c r="M380" s="104"/>
      <c r="P380" s="79"/>
      <c r="S380" s="79"/>
      <c r="V380" s="79"/>
    </row>
    <row r="381" spans="7:22" x14ac:dyDescent="0.2">
      <c r="G381" s="79"/>
      <c r="J381" s="79"/>
      <c r="M381" s="104"/>
      <c r="P381" s="79"/>
      <c r="S381" s="79"/>
      <c r="V381" s="79"/>
    </row>
    <row r="382" spans="7:22" x14ac:dyDescent="0.2">
      <c r="G382" s="79"/>
      <c r="J382" s="79"/>
      <c r="M382" s="104"/>
      <c r="P382" s="79"/>
      <c r="S382" s="79"/>
      <c r="V382" s="79"/>
    </row>
    <row r="383" spans="7:22" x14ac:dyDescent="0.2">
      <c r="G383" s="79"/>
      <c r="J383" s="79"/>
      <c r="M383" s="104"/>
      <c r="P383" s="79"/>
      <c r="S383" s="79"/>
      <c r="V383" s="79"/>
    </row>
    <row r="384" spans="7:22" x14ac:dyDescent="0.2">
      <c r="G384" s="79"/>
      <c r="J384" s="79"/>
      <c r="M384" s="104"/>
      <c r="P384" s="79"/>
      <c r="S384" s="79"/>
      <c r="V384" s="79"/>
    </row>
    <row r="385" spans="7:22" x14ac:dyDescent="0.2">
      <c r="G385" s="79"/>
      <c r="J385" s="79"/>
      <c r="M385" s="104"/>
      <c r="P385" s="79"/>
      <c r="S385" s="79"/>
      <c r="V385" s="79"/>
    </row>
    <row r="386" spans="7:22" x14ac:dyDescent="0.2">
      <c r="G386" s="79"/>
      <c r="J386" s="79"/>
      <c r="M386" s="104"/>
      <c r="P386" s="79"/>
      <c r="S386" s="79"/>
      <c r="V386" s="79"/>
    </row>
    <row r="387" spans="7:22" x14ac:dyDescent="0.2">
      <c r="G387" s="79"/>
      <c r="J387" s="79"/>
      <c r="M387" s="104"/>
      <c r="P387" s="79"/>
      <c r="S387" s="79"/>
      <c r="V387" s="79"/>
    </row>
    <row r="388" spans="7:22" x14ac:dyDescent="0.2">
      <c r="G388" s="79"/>
      <c r="J388" s="79"/>
      <c r="M388" s="104"/>
      <c r="P388" s="79"/>
      <c r="S388" s="79"/>
      <c r="V388" s="79"/>
    </row>
    <row r="389" spans="7:22" x14ac:dyDescent="0.2">
      <c r="G389" s="79"/>
      <c r="J389" s="79"/>
      <c r="M389" s="104"/>
      <c r="P389" s="79"/>
      <c r="S389" s="79"/>
      <c r="V389" s="79"/>
    </row>
    <row r="390" spans="7:22" x14ac:dyDescent="0.2">
      <c r="G390" s="79"/>
      <c r="J390" s="79"/>
      <c r="M390" s="104"/>
      <c r="P390" s="79"/>
      <c r="S390" s="79"/>
      <c r="V390" s="79"/>
    </row>
    <row r="391" spans="7:22" x14ac:dyDescent="0.2">
      <c r="G391" s="79"/>
      <c r="J391" s="79"/>
      <c r="M391" s="104"/>
      <c r="P391" s="79"/>
      <c r="S391" s="79"/>
      <c r="V391" s="79"/>
    </row>
    <row r="392" spans="7:22" x14ac:dyDescent="0.2">
      <c r="G392" s="79"/>
      <c r="J392" s="79"/>
      <c r="M392" s="104"/>
      <c r="P392" s="79"/>
      <c r="S392" s="79"/>
      <c r="V392" s="79"/>
    </row>
    <row r="393" spans="7:22" x14ac:dyDescent="0.2">
      <c r="G393" s="79"/>
      <c r="J393" s="79"/>
      <c r="M393" s="104"/>
      <c r="P393" s="79"/>
      <c r="S393" s="79"/>
      <c r="V393" s="79"/>
    </row>
    <row r="394" spans="7:22" x14ac:dyDescent="0.2">
      <c r="G394" s="79"/>
      <c r="J394" s="79"/>
      <c r="M394" s="104"/>
      <c r="P394" s="79"/>
      <c r="S394" s="79"/>
      <c r="V394" s="79"/>
    </row>
    <row r="395" spans="7:22" x14ac:dyDescent="0.2">
      <c r="G395" s="79"/>
      <c r="J395" s="79"/>
      <c r="M395" s="104"/>
      <c r="P395" s="79"/>
      <c r="S395" s="79"/>
      <c r="V395" s="79"/>
    </row>
    <row r="396" spans="7:22" x14ac:dyDescent="0.2">
      <c r="G396" s="79"/>
      <c r="J396" s="79"/>
      <c r="M396" s="104"/>
      <c r="P396" s="79"/>
      <c r="S396" s="79"/>
      <c r="V396" s="79"/>
    </row>
    <row r="397" spans="7:22" x14ac:dyDescent="0.2">
      <c r="G397" s="79"/>
      <c r="J397" s="79"/>
      <c r="M397" s="104"/>
      <c r="P397" s="79"/>
      <c r="S397" s="79"/>
      <c r="V397" s="79"/>
    </row>
    <row r="398" spans="7:22" x14ac:dyDescent="0.2">
      <c r="G398" s="79"/>
      <c r="J398" s="79"/>
      <c r="M398" s="104"/>
      <c r="P398" s="79"/>
      <c r="S398" s="79"/>
      <c r="V398" s="79"/>
    </row>
    <row r="399" spans="7:22" x14ac:dyDescent="0.2">
      <c r="G399" s="79"/>
      <c r="J399" s="79"/>
      <c r="M399" s="104"/>
      <c r="P399" s="79"/>
      <c r="S399" s="79"/>
      <c r="V399" s="79"/>
    </row>
    <row r="400" spans="7:22" x14ac:dyDescent="0.2">
      <c r="G400" s="79"/>
      <c r="J400" s="79"/>
      <c r="M400" s="104"/>
      <c r="P400" s="79"/>
      <c r="S400" s="79"/>
      <c r="V400" s="79"/>
    </row>
    <row r="401" spans="7:22" x14ac:dyDescent="0.2">
      <c r="G401" s="79"/>
      <c r="J401" s="79"/>
      <c r="M401" s="104"/>
      <c r="P401" s="79"/>
      <c r="S401" s="79"/>
      <c r="V401" s="79"/>
    </row>
    <row r="402" spans="7:22" x14ac:dyDescent="0.2">
      <c r="G402" s="79"/>
      <c r="J402" s="79"/>
      <c r="M402" s="104"/>
      <c r="P402" s="79"/>
      <c r="S402" s="79"/>
      <c r="V402" s="79"/>
    </row>
    <row r="403" spans="7:22" x14ac:dyDescent="0.2">
      <c r="G403" s="79"/>
      <c r="J403" s="79"/>
      <c r="M403" s="104"/>
      <c r="P403" s="79"/>
      <c r="S403" s="79"/>
      <c r="V403" s="79"/>
    </row>
    <row r="404" spans="7:22" x14ac:dyDescent="0.2">
      <c r="G404" s="79"/>
      <c r="J404" s="79"/>
      <c r="M404" s="104"/>
      <c r="P404" s="79"/>
      <c r="S404" s="79"/>
      <c r="V404" s="79"/>
    </row>
    <row r="405" spans="7:22" x14ac:dyDescent="0.2">
      <c r="G405" s="79"/>
      <c r="J405" s="79"/>
      <c r="M405" s="104"/>
      <c r="P405" s="79"/>
      <c r="S405" s="79"/>
      <c r="V405" s="79"/>
    </row>
    <row r="406" spans="7:22" x14ac:dyDescent="0.2">
      <c r="G406" s="79"/>
      <c r="J406" s="79"/>
      <c r="M406" s="104"/>
      <c r="P406" s="79"/>
      <c r="S406" s="79"/>
      <c r="V406" s="79"/>
    </row>
    <row r="407" spans="7:22" x14ac:dyDescent="0.2">
      <c r="G407" s="79"/>
      <c r="J407" s="79"/>
      <c r="M407" s="104"/>
      <c r="P407" s="79"/>
      <c r="S407" s="79"/>
      <c r="V407" s="79"/>
    </row>
    <row r="408" spans="7:22" x14ac:dyDescent="0.2">
      <c r="G408" s="79"/>
      <c r="J408" s="79"/>
      <c r="M408" s="104"/>
      <c r="P408" s="79"/>
      <c r="S408" s="79"/>
      <c r="V408" s="79"/>
    </row>
    <row r="409" spans="7:22" x14ac:dyDescent="0.2">
      <c r="G409" s="79"/>
      <c r="J409" s="79"/>
      <c r="M409" s="104"/>
      <c r="P409" s="79"/>
      <c r="S409" s="79"/>
      <c r="V409" s="79"/>
    </row>
    <row r="410" spans="7:22" x14ac:dyDescent="0.2">
      <c r="G410" s="79"/>
      <c r="J410" s="79"/>
      <c r="M410" s="104"/>
      <c r="P410" s="79"/>
      <c r="S410" s="79"/>
      <c r="V410" s="79"/>
    </row>
    <row r="411" spans="7:22" x14ac:dyDescent="0.2">
      <c r="G411" s="79"/>
      <c r="J411" s="79"/>
      <c r="M411" s="104"/>
      <c r="P411" s="79"/>
      <c r="S411" s="79"/>
      <c r="V411" s="79"/>
    </row>
    <row r="412" spans="7:22" x14ac:dyDescent="0.2">
      <c r="G412" s="79"/>
      <c r="J412" s="79"/>
      <c r="M412" s="104"/>
      <c r="P412" s="79"/>
      <c r="S412" s="79"/>
      <c r="V412" s="79"/>
    </row>
    <row r="413" spans="7:22" x14ac:dyDescent="0.2">
      <c r="G413" s="79"/>
      <c r="J413" s="79"/>
      <c r="M413" s="104"/>
      <c r="P413" s="79"/>
      <c r="S413" s="79"/>
      <c r="V413" s="79"/>
    </row>
    <row r="414" spans="7:22" x14ac:dyDescent="0.2">
      <c r="G414" s="79"/>
      <c r="J414" s="79"/>
      <c r="M414" s="104"/>
      <c r="P414" s="79"/>
      <c r="S414" s="79"/>
      <c r="V414" s="79"/>
    </row>
    <row r="415" spans="7:22" x14ac:dyDescent="0.2">
      <c r="G415" s="79"/>
      <c r="J415" s="79"/>
      <c r="M415" s="104"/>
      <c r="P415" s="79"/>
      <c r="S415" s="79"/>
      <c r="V415" s="79"/>
    </row>
    <row r="416" spans="7:22" x14ac:dyDescent="0.2">
      <c r="G416" s="79"/>
      <c r="J416" s="79"/>
      <c r="M416" s="104"/>
      <c r="P416" s="79"/>
      <c r="S416" s="79"/>
      <c r="V416" s="79"/>
    </row>
    <row r="417" spans="7:22" x14ac:dyDescent="0.2">
      <c r="G417" s="79"/>
      <c r="J417" s="79"/>
      <c r="M417" s="104"/>
      <c r="P417" s="79"/>
      <c r="S417" s="79"/>
      <c r="V417" s="79"/>
    </row>
    <row r="418" spans="7:22" x14ac:dyDescent="0.2">
      <c r="G418" s="79"/>
      <c r="J418" s="79"/>
      <c r="M418" s="104"/>
      <c r="P418" s="79"/>
      <c r="S418" s="79"/>
      <c r="V418" s="79"/>
    </row>
    <row r="419" spans="7:22" x14ac:dyDescent="0.2">
      <c r="G419" s="79"/>
      <c r="J419" s="79"/>
      <c r="M419" s="104"/>
      <c r="P419" s="79"/>
      <c r="S419" s="79"/>
      <c r="V419" s="79"/>
    </row>
    <row r="420" spans="7:22" x14ac:dyDescent="0.2">
      <c r="G420" s="79"/>
      <c r="J420" s="79"/>
      <c r="M420" s="104"/>
      <c r="P420" s="79"/>
      <c r="S420" s="79"/>
      <c r="V420" s="79"/>
    </row>
    <row r="421" spans="7:22" x14ac:dyDescent="0.2">
      <c r="G421" s="79"/>
      <c r="J421" s="79"/>
      <c r="M421" s="104"/>
      <c r="P421" s="79"/>
      <c r="S421" s="79"/>
      <c r="V421" s="79"/>
    </row>
    <row r="422" spans="7:22" x14ac:dyDescent="0.2">
      <c r="G422" s="79"/>
      <c r="J422" s="79"/>
      <c r="M422" s="104"/>
      <c r="P422" s="79"/>
      <c r="S422" s="79"/>
      <c r="V422" s="79"/>
    </row>
    <row r="423" spans="7:22" x14ac:dyDescent="0.2">
      <c r="G423" s="79"/>
      <c r="J423" s="79"/>
      <c r="M423" s="104"/>
      <c r="P423" s="79"/>
      <c r="S423" s="79"/>
      <c r="V423" s="79"/>
    </row>
    <row r="424" spans="7:22" x14ac:dyDescent="0.2">
      <c r="G424" s="79"/>
      <c r="J424" s="79"/>
      <c r="M424" s="104"/>
      <c r="P424" s="79"/>
      <c r="S424" s="79"/>
      <c r="V424" s="79"/>
    </row>
    <row r="425" spans="7:22" x14ac:dyDescent="0.2">
      <c r="G425" s="79"/>
      <c r="J425" s="79"/>
      <c r="M425" s="104"/>
      <c r="P425" s="79"/>
      <c r="S425" s="79"/>
      <c r="V425" s="79"/>
    </row>
    <row r="426" spans="7:22" x14ac:dyDescent="0.2">
      <c r="G426" s="79"/>
      <c r="J426" s="79"/>
      <c r="M426" s="104"/>
      <c r="P426" s="79"/>
      <c r="S426" s="79"/>
      <c r="V426" s="79"/>
    </row>
    <row r="427" spans="7:22" x14ac:dyDescent="0.2">
      <c r="G427" s="79"/>
      <c r="J427" s="79"/>
      <c r="M427" s="104"/>
      <c r="P427" s="79"/>
      <c r="S427" s="79"/>
      <c r="V427" s="79"/>
    </row>
    <row r="428" spans="7:22" x14ac:dyDescent="0.2">
      <c r="G428" s="79"/>
      <c r="J428" s="79"/>
      <c r="M428" s="104"/>
      <c r="P428" s="79"/>
      <c r="S428" s="79"/>
      <c r="V428" s="79"/>
    </row>
    <row r="429" spans="7:22" x14ac:dyDescent="0.2">
      <c r="G429" s="79"/>
      <c r="J429" s="79"/>
      <c r="M429" s="104"/>
      <c r="P429" s="79"/>
      <c r="S429" s="79"/>
      <c r="V429" s="79"/>
    </row>
    <row r="430" spans="7:22" x14ac:dyDescent="0.2">
      <c r="G430" s="79"/>
      <c r="J430" s="79"/>
      <c r="M430" s="104"/>
      <c r="P430" s="79"/>
      <c r="S430" s="79"/>
      <c r="V430" s="79"/>
    </row>
    <row r="431" spans="7:22" x14ac:dyDescent="0.2">
      <c r="G431" s="79"/>
      <c r="J431" s="79"/>
      <c r="M431" s="104"/>
      <c r="P431" s="79"/>
      <c r="S431" s="79"/>
      <c r="V431" s="79"/>
    </row>
    <row r="432" spans="7:22" x14ac:dyDescent="0.2">
      <c r="G432" s="79"/>
      <c r="J432" s="79"/>
      <c r="M432" s="104"/>
      <c r="P432" s="79"/>
      <c r="S432" s="79"/>
      <c r="V432" s="79"/>
    </row>
    <row r="433" spans="7:22" x14ac:dyDescent="0.2">
      <c r="G433" s="79"/>
      <c r="J433" s="79"/>
      <c r="M433" s="104"/>
      <c r="P433" s="79"/>
      <c r="S433" s="79"/>
      <c r="V433" s="79"/>
    </row>
    <row r="434" spans="7:22" x14ac:dyDescent="0.2">
      <c r="G434" s="79"/>
      <c r="J434" s="79"/>
      <c r="M434" s="104"/>
      <c r="P434" s="79"/>
      <c r="S434" s="79"/>
      <c r="V434" s="79"/>
    </row>
    <row r="435" spans="7:22" x14ac:dyDescent="0.2">
      <c r="G435" s="79"/>
      <c r="J435" s="79"/>
      <c r="M435" s="104"/>
      <c r="P435" s="79"/>
      <c r="S435" s="79"/>
      <c r="V435" s="79"/>
    </row>
    <row r="436" spans="7:22" x14ac:dyDescent="0.2">
      <c r="G436" s="79"/>
      <c r="J436" s="79"/>
      <c r="M436" s="104"/>
      <c r="P436" s="79"/>
      <c r="S436" s="79"/>
      <c r="V436" s="79"/>
    </row>
    <row r="437" spans="7:22" x14ac:dyDescent="0.2">
      <c r="G437" s="79"/>
      <c r="J437" s="79"/>
      <c r="M437" s="104"/>
      <c r="P437" s="79"/>
      <c r="S437" s="79"/>
      <c r="V437" s="79"/>
    </row>
    <row r="438" spans="7:22" x14ac:dyDescent="0.2">
      <c r="G438" s="79"/>
      <c r="J438" s="79"/>
      <c r="M438" s="104"/>
      <c r="P438" s="79"/>
      <c r="S438" s="79"/>
      <c r="V438" s="79"/>
    </row>
    <row r="439" spans="7:22" x14ac:dyDescent="0.2">
      <c r="G439" s="79"/>
      <c r="J439" s="79"/>
      <c r="M439" s="104"/>
      <c r="P439" s="79"/>
      <c r="S439" s="79"/>
      <c r="V439" s="79"/>
    </row>
    <row r="440" spans="7:22" x14ac:dyDescent="0.2">
      <c r="G440" s="79"/>
      <c r="J440" s="79"/>
      <c r="M440" s="104"/>
      <c r="P440" s="79"/>
      <c r="S440" s="79"/>
      <c r="V440" s="79"/>
    </row>
    <row r="441" spans="7:22" x14ac:dyDescent="0.2">
      <c r="G441" s="79"/>
      <c r="J441" s="79"/>
      <c r="M441" s="104"/>
      <c r="P441" s="79"/>
      <c r="S441" s="79"/>
      <c r="V441" s="79"/>
    </row>
    <row r="442" spans="7:22" x14ac:dyDescent="0.2">
      <c r="G442" s="79"/>
      <c r="J442" s="79"/>
      <c r="M442" s="104"/>
      <c r="P442" s="79"/>
      <c r="S442" s="79"/>
      <c r="V442" s="79"/>
    </row>
    <row r="443" spans="7:22" x14ac:dyDescent="0.2">
      <c r="G443" s="79"/>
      <c r="J443" s="79"/>
      <c r="M443" s="104"/>
      <c r="P443" s="79"/>
      <c r="S443" s="79"/>
      <c r="V443" s="79"/>
    </row>
    <row r="444" spans="7:22" x14ac:dyDescent="0.2">
      <c r="G444" s="79"/>
      <c r="J444" s="79"/>
      <c r="M444" s="104"/>
      <c r="P444" s="79"/>
      <c r="S444" s="79"/>
      <c r="V444" s="79"/>
    </row>
    <row r="445" spans="7:22" x14ac:dyDescent="0.2">
      <c r="G445" s="79"/>
      <c r="J445" s="79"/>
      <c r="M445" s="104"/>
      <c r="P445" s="79"/>
      <c r="S445" s="79"/>
      <c r="V445" s="79"/>
    </row>
    <row r="446" spans="7:22" x14ac:dyDescent="0.2">
      <c r="G446" s="79"/>
      <c r="J446" s="79"/>
      <c r="M446" s="104"/>
      <c r="P446" s="79"/>
      <c r="S446" s="79"/>
      <c r="V446" s="79"/>
    </row>
    <row r="447" spans="7:22" x14ac:dyDescent="0.2">
      <c r="G447" s="79"/>
      <c r="J447" s="79"/>
      <c r="M447" s="104"/>
      <c r="P447" s="79"/>
      <c r="S447" s="79"/>
      <c r="V447" s="79"/>
    </row>
    <row r="448" spans="7:22" x14ac:dyDescent="0.2">
      <c r="G448" s="79"/>
      <c r="J448" s="79"/>
      <c r="M448" s="104"/>
      <c r="P448" s="79"/>
      <c r="S448" s="79"/>
      <c r="V448" s="79"/>
    </row>
    <row r="449" spans="7:22" x14ac:dyDescent="0.2">
      <c r="G449" s="79"/>
      <c r="J449" s="79"/>
      <c r="M449" s="104"/>
      <c r="P449" s="79"/>
      <c r="S449" s="79"/>
      <c r="V449" s="79"/>
    </row>
    <row r="450" spans="7:22" x14ac:dyDescent="0.2">
      <c r="G450" s="79"/>
      <c r="J450" s="79"/>
      <c r="M450" s="104"/>
      <c r="P450" s="79"/>
      <c r="S450" s="79"/>
      <c r="V450" s="79"/>
    </row>
    <row r="451" spans="7:22" x14ac:dyDescent="0.2">
      <c r="G451" s="79"/>
      <c r="J451" s="79"/>
      <c r="M451" s="104"/>
      <c r="P451" s="79"/>
      <c r="S451" s="79"/>
      <c r="V451" s="79"/>
    </row>
    <row r="452" spans="7:22" x14ac:dyDescent="0.2">
      <c r="G452" s="79"/>
      <c r="J452" s="79"/>
      <c r="M452" s="104"/>
      <c r="P452" s="79"/>
      <c r="S452" s="79"/>
      <c r="V452" s="79"/>
    </row>
    <row r="453" spans="7:22" x14ac:dyDescent="0.2">
      <c r="G453" s="79"/>
      <c r="J453" s="79"/>
      <c r="M453" s="104"/>
      <c r="P453" s="79"/>
      <c r="S453" s="79"/>
      <c r="V453" s="79"/>
    </row>
    <row r="454" spans="7:22" x14ac:dyDescent="0.2">
      <c r="G454" s="79"/>
      <c r="J454" s="79"/>
      <c r="M454" s="104"/>
      <c r="P454" s="79"/>
      <c r="S454" s="79"/>
      <c r="V454" s="79"/>
    </row>
    <row r="455" spans="7:22" x14ac:dyDescent="0.2">
      <c r="G455" s="79"/>
      <c r="J455" s="79"/>
      <c r="M455" s="104"/>
      <c r="P455" s="79"/>
      <c r="S455" s="79"/>
      <c r="V455" s="79"/>
    </row>
    <row r="456" spans="7:22" x14ac:dyDescent="0.2">
      <c r="G456" s="79"/>
      <c r="J456" s="79"/>
      <c r="M456" s="104"/>
      <c r="P456" s="79"/>
      <c r="S456" s="79"/>
      <c r="V456" s="79"/>
    </row>
    <row r="457" spans="7:22" x14ac:dyDescent="0.2">
      <c r="G457" s="79"/>
      <c r="J457" s="79"/>
      <c r="M457" s="104"/>
      <c r="P457" s="79"/>
      <c r="S457" s="79"/>
      <c r="V457" s="79"/>
    </row>
    <row r="458" spans="7:22" x14ac:dyDescent="0.2">
      <c r="G458" s="79"/>
      <c r="J458" s="79"/>
      <c r="M458" s="104"/>
      <c r="P458" s="79"/>
      <c r="S458" s="79"/>
      <c r="V458" s="79"/>
    </row>
    <row r="459" spans="7:22" x14ac:dyDescent="0.2">
      <c r="G459" s="79"/>
      <c r="J459" s="79"/>
      <c r="M459" s="104"/>
      <c r="P459" s="79"/>
      <c r="S459" s="79"/>
      <c r="V459" s="79"/>
    </row>
    <row r="460" spans="7:22" x14ac:dyDescent="0.2">
      <c r="G460" s="79"/>
      <c r="J460" s="79"/>
      <c r="M460" s="104"/>
      <c r="P460" s="79"/>
      <c r="S460" s="79"/>
      <c r="V460" s="79"/>
    </row>
    <row r="461" spans="7:22" x14ac:dyDescent="0.2">
      <c r="G461" s="79"/>
      <c r="J461" s="79"/>
      <c r="M461" s="104"/>
      <c r="P461" s="79"/>
      <c r="S461" s="79"/>
      <c r="V461" s="79"/>
    </row>
    <row r="462" spans="7:22" x14ac:dyDescent="0.2">
      <c r="G462" s="79"/>
      <c r="J462" s="79"/>
      <c r="M462" s="104"/>
      <c r="P462" s="79"/>
      <c r="S462" s="79"/>
      <c r="V462" s="79"/>
    </row>
    <row r="463" spans="7:22" x14ac:dyDescent="0.2">
      <c r="G463" s="79"/>
      <c r="J463" s="79"/>
      <c r="M463" s="104"/>
      <c r="P463" s="79"/>
      <c r="S463" s="79"/>
      <c r="V463" s="79"/>
    </row>
    <row r="464" spans="7:22" x14ac:dyDescent="0.2">
      <c r="G464" s="79"/>
      <c r="J464" s="79"/>
      <c r="M464" s="104"/>
      <c r="P464" s="79"/>
      <c r="S464" s="79"/>
      <c r="V464" s="79"/>
    </row>
    <row r="465" spans="7:22" x14ac:dyDescent="0.2">
      <c r="G465" s="79"/>
      <c r="J465" s="79"/>
      <c r="M465" s="104"/>
      <c r="P465" s="79"/>
      <c r="S465" s="79"/>
      <c r="V465" s="79"/>
    </row>
    <row r="466" spans="7:22" x14ac:dyDescent="0.2">
      <c r="G466" s="79"/>
      <c r="J466" s="79"/>
      <c r="M466" s="104"/>
      <c r="P466" s="79"/>
      <c r="S466" s="79"/>
      <c r="V466" s="79"/>
    </row>
    <row r="467" spans="7:22" x14ac:dyDescent="0.2">
      <c r="G467" s="79"/>
      <c r="J467" s="79"/>
      <c r="M467" s="104"/>
      <c r="P467" s="79"/>
      <c r="S467" s="79"/>
      <c r="V467" s="79"/>
    </row>
    <row r="468" spans="7:22" x14ac:dyDescent="0.2">
      <c r="G468" s="79"/>
      <c r="J468" s="79"/>
      <c r="M468" s="104"/>
      <c r="P468" s="79"/>
      <c r="S468" s="79"/>
      <c r="V468" s="79"/>
    </row>
    <row r="469" spans="7:22" x14ac:dyDescent="0.2">
      <c r="G469" s="79"/>
      <c r="J469" s="79"/>
      <c r="M469" s="104"/>
      <c r="P469" s="79"/>
      <c r="S469" s="79"/>
      <c r="V469" s="79"/>
    </row>
    <row r="470" spans="7:22" x14ac:dyDescent="0.2">
      <c r="G470" s="79"/>
      <c r="J470" s="79"/>
      <c r="M470" s="104"/>
      <c r="P470" s="79"/>
      <c r="S470" s="79"/>
      <c r="V470" s="79"/>
    </row>
    <row r="471" spans="7:22" x14ac:dyDescent="0.2">
      <c r="G471" s="79"/>
      <c r="J471" s="79"/>
      <c r="M471" s="104"/>
      <c r="P471" s="79"/>
      <c r="S471" s="79"/>
      <c r="V471" s="79"/>
    </row>
    <row r="472" spans="7:22" x14ac:dyDescent="0.2">
      <c r="G472" s="79"/>
      <c r="J472" s="79"/>
      <c r="M472" s="104"/>
      <c r="P472" s="79"/>
      <c r="S472" s="79"/>
      <c r="V472" s="79"/>
    </row>
    <row r="473" spans="7:22" x14ac:dyDescent="0.2">
      <c r="G473" s="79"/>
      <c r="J473" s="79"/>
      <c r="M473" s="104"/>
      <c r="P473" s="79"/>
      <c r="S473" s="79"/>
      <c r="V473" s="79"/>
    </row>
    <row r="474" spans="7:22" x14ac:dyDescent="0.2">
      <c r="G474" s="79"/>
      <c r="J474" s="79"/>
      <c r="M474" s="104"/>
      <c r="P474" s="79"/>
      <c r="S474" s="79"/>
      <c r="V474" s="79"/>
    </row>
    <row r="475" spans="7:22" x14ac:dyDescent="0.2">
      <c r="G475" s="79"/>
      <c r="J475" s="79"/>
      <c r="M475" s="104"/>
      <c r="P475" s="79"/>
      <c r="S475" s="79"/>
      <c r="V475" s="79"/>
    </row>
    <row r="476" spans="7:22" x14ac:dyDescent="0.2">
      <c r="G476" s="79"/>
      <c r="J476" s="79"/>
      <c r="M476" s="104"/>
      <c r="P476" s="79"/>
      <c r="S476" s="79"/>
      <c r="V476" s="79"/>
    </row>
    <row r="477" spans="7:22" x14ac:dyDescent="0.2">
      <c r="G477" s="79"/>
      <c r="J477" s="79"/>
      <c r="M477" s="104"/>
      <c r="P477" s="79"/>
      <c r="S477" s="79"/>
      <c r="V477" s="79"/>
    </row>
    <row r="478" spans="7:22" x14ac:dyDescent="0.2">
      <c r="G478" s="79"/>
      <c r="J478" s="79"/>
      <c r="M478" s="104"/>
      <c r="P478" s="79"/>
      <c r="S478" s="79"/>
      <c r="V478" s="79"/>
    </row>
    <row r="479" spans="7:22" x14ac:dyDescent="0.2">
      <c r="G479" s="79"/>
      <c r="J479" s="79"/>
      <c r="M479" s="104"/>
      <c r="P479" s="79"/>
      <c r="S479" s="79"/>
      <c r="V479" s="79"/>
    </row>
    <row r="480" spans="7:22" x14ac:dyDescent="0.2">
      <c r="G480" s="79"/>
      <c r="J480" s="79"/>
      <c r="M480" s="104"/>
      <c r="P480" s="79"/>
      <c r="S480" s="79"/>
      <c r="V480" s="79"/>
    </row>
    <row r="481" spans="7:22" x14ac:dyDescent="0.2">
      <c r="G481" s="79"/>
      <c r="J481" s="79"/>
      <c r="M481" s="104"/>
      <c r="P481" s="79"/>
      <c r="S481" s="79"/>
      <c r="V481" s="79"/>
    </row>
    <row r="482" spans="7:22" x14ac:dyDescent="0.2">
      <c r="G482" s="79"/>
      <c r="J482" s="79"/>
      <c r="M482" s="104"/>
      <c r="P482" s="79"/>
      <c r="S482" s="79"/>
      <c r="V482" s="79"/>
    </row>
    <row r="483" spans="7:22" x14ac:dyDescent="0.2">
      <c r="G483" s="79"/>
      <c r="J483" s="79"/>
      <c r="M483" s="104"/>
      <c r="P483" s="79"/>
      <c r="S483" s="79"/>
      <c r="V483" s="79"/>
    </row>
    <row r="484" spans="7:22" x14ac:dyDescent="0.2">
      <c r="G484" s="79"/>
      <c r="J484" s="79"/>
      <c r="M484" s="104"/>
      <c r="P484" s="79"/>
      <c r="S484" s="79"/>
      <c r="V484" s="79"/>
    </row>
    <row r="485" spans="7:22" x14ac:dyDescent="0.2">
      <c r="G485" s="79"/>
      <c r="J485" s="79"/>
      <c r="M485" s="104"/>
      <c r="P485" s="79"/>
      <c r="S485" s="79"/>
      <c r="V485" s="79"/>
    </row>
    <row r="486" spans="7:22" x14ac:dyDescent="0.2">
      <c r="G486" s="79"/>
      <c r="J486" s="79"/>
      <c r="M486" s="104"/>
      <c r="P486" s="79"/>
      <c r="S486" s="79"/>
      <c r="V486" s="79"/>
    </row>
    <row r="487" spans="7:22" x14ac:dyDescent="0.2">
      <c r="G487" s="79"/>
      <c r="J487" s="79"/>
      <c r="M487" s="104"/>
      <c r="P487" s="79"/>
      <c r="S487" s="79"/>
      <c r="V487" s="79"/>
    </row>
    <row r="488" spans="7:22" x14ac:dyDescent="0.2">
      <c r="G488" s="79"/>
      <c r="J488" s="79"/>
      <c r="M488" s="104"/>
      <c r="P488" s="79"/>
      <c r="S488" s="79"/>
      <c r="V488" s="79"/>
    </row>
    <row r="489" spans="7:22" x14ac:dyDescent="0.2">
      <c r="G489" s="79"/>
      <c r="J489" s="79"/>
      <c r="M489" s="104"/>
      <c r="P489" s="79"/>
      <c r="S489" s="79"/>
      <c r="V489" s="79"/>
    </row>
    <row r="490" spans="7:22" x14ac:dyDescent="0.2">
      <c r="G490" s="79"/>
      <c r="J490" s="79"/>
      <c r="M490" s="104"/>
      <c r="P490" s="79"/>
      <c r="S490" s="79"/>
      <c r="V490" s="79"/>
    </row>
    <row r="491" spans="7:22" x14ac:dyDescent="0.2">
      <c r="G491" s="79"/>
      <c r="J491" s="79"/>
      <c r="M491" s="104"/>
      <c r="P491" s="79"/>
      <c r="S491" s="79"/>
      <c r="V491" s="79"/>
    </row>
    <row r="492" spans="7:22" x14ac:dyDescent="0.2">
      <c r="G492" s="79"/>
      <c r="J492" s="79"/>
      <c r="M492" s="104"/>
      <c r="P492" s="79"/>
      <c r="S492" s="79"/>
      <c r="V492" s="79"/>
    </row>
    <row r="493" spans="7:22" x14ac:dyDescent="0.2">
      <c r="G493" s="79"/>
      <c r="J493" s="79"/>
      <c r="M493" s="104"/>
      <c r="P493" s="79"/>
      <c r="S493" s="79"/>
      <c r="V493" s="79"/>
    </row>
    <row r="494" spans="7:22" x14ac:dyDescent="0.2">
      <c r="G494" s="79"/>
      <c r="J494" s="79"/>
      <c r="M494" s="104"/>
      <c r="P494" s="79"/>
      <c r="S494" s="79"/>
      <c r="V494" s="79"/>
    </row>
    <row r="495" spans="7:22" x14ac:dyDescent="0.2">
      <c r="G495" s="79"/>
      <c r="J495" s="79"/>
      <c r="M495" s="104"/>
      <c r="P495" s="79"/>
      <c r="S495" s="79"/>
      <c r="V495" s="79"/>
    </row>
    <row r="496" spans="7:22" x14ac:dyDescent="0.2">
      <c r="G496" s="79"/>
      <c r="J496" s="79"/>
      <c r="M496" s="104"/>
      <c r="P496" s="79"/>
      <c r="S496" s="79"/>
      <c r="V496" s="79"/>
    </row>
    <row r="497" spans="7:22" x14ac:dyDescent="0.2">
      <c r="G497" s="79"/>
      <c r="J497" s="79"/>
      <c r="M497" s="104"/>
      <c r="P497" s="79"/>
      <c r="S497" s="79"/>
      <c r="V497" s="79"/>
    </row>
    <row r="498" spans="7:22" x14ac:dyDescent="0.2">
      <c r="G498" s="79"/>
      <c r="J498" s="79"/>
      <c r="M498" s="104"/>
      <c r="P498" s="79"/>
      <c r="S498" s="79"/>
      <c r="V498" s="79"/>
    </row>
    <row r="499" spans="7:22" x14ac:dyDescent="0.2">
      <c r="G499" s="79"/>
      <c r="J499" s="79"/>
      <c r="M499" s="104"/>
      <c r="P499" s="79"/>
      <c r="S499" s="79"/>
      <c r="V499" s="79"/>
    </row>
    <row r="500" spans="7:22" x14ac:dyDescent="0.2">
      <c r="G500" s="79"/>
      <c r="J500" s="79"/>
      <c r="M500" s="104"/>
      <c r="P500" s="79"/>
      <c r="S500" s="79"/>
      <c r="V500" s="79"/>
    </row>
    <row r="501" spans="7:22" x14ac:dyDescent="0.2">
      <c r="G501" s="79"/>
      <c r="J501" s="79"/>
      <c r="M501" s="104"/>
      <c r="P501" s="79"/>
      <c r="S501" s="79"/>
      <c r="V501" s="79"/>
    </row>
    <row r="502" spans="7:22" x14ac:dyDescent="0.2">
      <c r="G502" s="79"/>
      <c r="J502" s="79"/>
      <c r="M502" s="104"/>
      <c r="P502" s="79"/>
      <c r="S502" s="79"/>
      <c r="V502" s="79"/>
    </row>
    <row r="503" spans="7:22" x14ac:dyDescent="0.2">
      <c r="G503" s="79"/>
      <c r="J503" s="79"/>
      <c r="M503" s="104"/>
      <c r="P503" s="79"/>
      <c r="S503" s="79"/>
      <c r="V503" s="79"/>
    </row>
    <row r="504" spans="7:22" x14ac:dyDescent="0.2">
      <c r="G504" s="79"/>
      <c r="J504" s="79"/>
      <c r="M504" s="104"/>
      <c r="P504" s="79"/>
      <c r="S504" s="79"/>
      <c r="V504" s="79"/>
    </row>
    <row r="505" spans="7:22" x14ac:dyDescent="0.2">
      <c r="G505" s="79"/>
      <c r="J505" s="79"/>
      <c r="M505" s="104"/>
      <c r="P505" s="79"/>
      <c r="S505" s="79"/>
      <c r="V505" s="79"/>
    </row>
    <row r="506" spans="7:22" x14ac:dyDescent="0.2">
      <c r="G506" s="79"/>
      <c r="J506" s="79"/>
      <c r="M506" s="104"/>
      <c r="P506" s="79"/>
      <c r="S506" s="79"/>
      <c r="V506" s="79"/>
    </row>
    <row r="507" spans="7:22" x14ac:dyDescent="0.2">
      <c r="G507" s="79"/>
      <c r="J507" s="79"/>
      <c r="M507" s="104"/>
      <c r="P507" s="79"/>
      <c r="S507" s="79"/>
      <c r="V507" s="79"/>
    </row>
    <row r="508" spans="7:22" x14ac:dyDescent="0.2">
      <c r="G508" s="79"/>
      <c r="J508" s="79"/>
      <c r="M508" s="104"/>
      <c r="P508" s="79"/>
      <c r="S508" s="79"/>
      <c r="V508" s="79"/>
    </row>
    <row r="509" spans="7:22" x14ac:dyDescent="0.2">
      <c r="G509" s="79"/>
      <c r="J509" s="79"/>
      <c r="M509" s="104"/>
      <c r="P509" s="79"/>
      <c r="S509" s="79"/>
      <c r="V509" s="79"/>
    </row>
    <row r="510" spans="7:22" x14ac:dyDescent="0.2">
      <c r="G510" s="79"/>
      <c r="J510" s="79"/>
      <c r="M510" s="104"/>
      <c r="P510" s="79"/>
      <c r="S510" s="79"/>
      <c r="V510" s="79"/>
    </row>
    <row r="511" spans="7:22" x14ac:dyDescent="0.2">
      <c r="G511" s="79"/>
      <c r="J511" s="79"/>
      <c r="M511" s="104"/>
      <c r="P511" s="79"/>
      <c r="S511" s="79"/>
      <c r="V511" s="79"/>
    </row>
    <row r="512" spans="7:22" x14ac:dyDescent="0.2">
      <c r="G512" s="79"/>
      <c r="J512" s="79"/>
      <c r="M512" s="104"/>
      <c r="P512" s="79"/>
      <c r="S512" s="79"/>
      <c r="V512" s="79"/>
    </row>
    <row r="513" spans="7:22" x14ac:dyDescent="0.2">
      <c r="G513" s="79"/>
      <c r="J513" s="79"/>
      <c r="M513" s="104"/>
      <c r="P513" s="79"/>
      <c r="S513" s="79"/>
      <c r="V513" s="79"/>
    </row>
    <row r="514" spans="7:22" x14ac:dyDescent="0.2">
      <c r="G514" s="79"/>
      <c r="J514" s="79"/>
      <c r="M514" s="104"/>
      <c r="P514" s="79"/>
      <c r="S514" s="79"/>
      <c r="V514" s="79"/>
    </row>
    <row r="515" spans="7:22" x14ac:dyDescent="0.2">
      <c r="G515" s="79"/>
      <c r="J515" s="79"/>
      <c r="M515" s="104"/>
      <c r="P515" s="79"/>
      <c r="S515" s="79"/>
      <c r="V515" s="79"/>
    </row>
    <row r="516" spans="7:22" x14ac:dyDescent="0.2">
      <c r="G516" s="79"/>
      <c r="J516" s="79"/>
      <c r="M516" s="104"/>
      <c r="P516" s="79"/>
      <c r="S516" s="79"/>
      <c r="V516" s="79"/>
    </row>
    <row r="517" spans="7:22" x14ac:dyDescent="0.2">
      <c r="G517" s="79"/>
      <c r="J517" s="79"/>
      <c r="M517" s="104"/>
      <c r="P517" s="79"/>
      <c r="S517" s="79"/>
      <c r="V517" s="79"/>
    </row>
    <row r="518" spans="7:22" x14ac:dyDescent="0.2">
      <c r="G518" s="79"/>
      <c r="J518" s="79"/>
      <c r="M518" s="104"/>
      <c r="P518" s="79"/>
      <c r="S518" s="79"/>
      <c r="V518" s="79"/>
    </row>
    <row r="519" spans="7:22" x14ac:dyDescent="0.2">
      <c r="G519" s="79"/>
      <c r="J519" s="79"/>
      <c r="M519" s="104"/>
      <c r="P519" s="79"/>
      <c r="S519" s="79"/>
      <c r="V519" s="79"/>
    </row>
    <row r="520" spans="7:22" x14ac:dyDescent="0.2">
      <c r="G520" s="79"/>
      <c r="J520" s="79"/>
      <c r="M520" s="104"/>
      <c r="P520" s="79"/>
      <c r="S520" s="79"/>
      <c r="V520" s="79"/>
    </row>
    <row r="521" spans="7:22" x14ac:dyDescent="0.2">
      <c r="G521" s="79"/>
      <c r="J521" s="79"/>
      <c r="M521" s="104"/>
      <c r="P521" s="79"/>
      <c r="S521" s="79"/>
      <c r="V521" s="79"/>
    </row>
    <row r="522" spans="7:22" x14ac:dyDescent="0.2">
      <c r="G522" s="79"/>
      <c r="J522" s="79"/>
      <c r="M522" s="104"/>
      <c r="P522" s="79"/>
      <c r="S522" s="79"/>
      <c r="V522" s="79"/>
    </row>
    <row r="523" spans="7:22" x14ac:dyDescent="0.2">
      <c r="G523" s="79"/>
      <c r="J523" s="79"/>
      <c r="M523" s="104"/>
      <c r="P523" s="79"/>
      <c r="S523" s="79"/>
      <c r="V523" s="79"/>
    </row>
    <row r="524" spans="7:22" x14ac:dyDescent="0.2">
      <c r="G524" s="79"/>
      <c r="J524" s="79"/>
      <c r="M524" s="104"/>
      <c r="P524" s="79"/>
      <c r="S524" s="79"/>
      <c r="V524" s="79"/>
    </row>
    <row r="525" spans="7:22" x14ac:dyDescent="0.2">
      <c r="G525" s="79"/>
      <c r="J525" s="79"/>
      <c r="M525" s="104"/>
      <c r="P525" s="79"/>
      <c r="S525" s="79"/>
      <c r="V525" s="79"/>
    </row>
    <row r="526" spans="7:22" x14ac:dyDescent="0.2">
      <c r="G526" s="79"/>
      <c r="J526" s="79"/>
      <c r="M526" s="104"/>
      <c r="P526" s="79"/>
      <c r="S526" s="79"/>
      <c r="V526" s="79"/>
    </row>
    <row r="527" spans="7:22" x14ac:dyDescent="0.2">
      <c r="G527" s="79"/>
      <c r="J527" s="79"/>
      <c r="M527" s="104"/>
      <c r="P527" s="79"/>
      <c r="S527" s="79"/>
      <c r="V527" s="79"/>
    </row>
    <row r="528" spans="7:22" x14ac:dyDescent="0.2">
      <c r="G528" s="79"/>
      <c r="J528" s="79"/>
      <c r="M528" s="104"/>
      <c r="P528" s="79"/>
      <c r="S528" s="79"/>
      <c r="V528" s="79"/>
    </row>
    <row r="529" spans="7:22" x14ac:dyDescent="0.2">
      <c r="G529" s="79"/>
      <c r="J529" s="79"/>
      <c r="M529" s="104"/>
      <c r="P529" s="79"/>
      <c r="S529" s="79"/>
      <c r="V529" s="79"/>
    </row>
    <row r="530" spans="7:22" x14ac:dyDescent="0.2">
      <c r="G530" s="79"/>
      <c r="J530" s="79"/>
      <c r="M530" s="104"/>
      <c r="P530" s="79"/>
      <c r="S530" s="79"/>
      <c r="V530" s="79"/>
    </row>
    <row r="531" spans="7:22" x14ac:dyDescent="0.2">
      <c r="G531" s="79"/>
      <c r="J531" s="79"/>
      <c r="M531" s="104"/>
      <c r="P531" s="79"/>
      <c r="S531" s="79"/>
      <c r="V531" s="79"/>
    </row>
    <row r="532" spans="7:22" x14ac:dyDescent="0.2">
      <c r="G532" s="79"/>
      <c r="J532" s="79"/>
      <c r="M532" s="104"/>
      <c r="P532" s="79"/>
      <c r="S532" s="79"/>
      <c r="V532" s="79"/>
    </row>
    <row r="533" spans="7:22" x14ac:dyDescent="0.2">
      <c r="G533" s="79"/>
      <c r="J533" s="79"/>
      <c r="M533" s="104"/>
      <c r="P533" s="79"/>
      <c r="S533" s="79"/>
      <c r="V533" s="79"/>
    </row>
    <row r="534" spans="7:22" x14ac:dyDescent="0.2">
      <c r="G534" s="79"/>
      <c r="J534" s="79"/>
      <c r="M534" s="104"/>
      <c r="P534" s="79"/>
      <c r="S534" s="79"/>
      <c r="V534" s="79"/>
    </row>
    <row r="535" spans="7:22" x14ac:dyDescent="0.2">
      <c r="G535" s="79"/>
      <c r="J535" s="79"/>
      <c r="M535" s="104"/>
      <c r="P535" s="79"/>
      <c r="S535" s="79"/>
      <c r="V535" s="79"/>
    </row>
    <row r="536" spans="7:22" x14ac:dyDescent="0.2">
      <c r="G536" s="79"/>
      <c r="J536" s="79"/>
      <c r="M536" s="104"/>
      <c r="P536" s="79"/>
      <c r="S536" s="79"/>
      <c r="V536" s="79"/>
    </row>
    <row r="537" spans="7:22" x14ac:dyDescent="0.2">
      <c r="G537" s="79"/>
      <c r="J537" s="79"/>
      <c r="M537" s="104"/>
      <c r="P537" s="79"/>
      <c r="S537" s="79"/>
      <c r="V537" s="79"/>
    </row>
    <row r="538" spans="7:22" x14ac:dyDescent="0.2">
      <c r="G538" s="79"/>
      <c r="J538" s="79"/>
      <c r="M538" s="104"/>
      <c r="P538" s="79"/>
      <c r="S538" s="79"/>
      <c r="V538" s="79"/>
    </row>
    <row r="539" spans="7:22" x14ac:dyDescent="0.2">
      <c r="G539" s="79"/>
      <c r="J539" s="79"/>
      <c r="M539" s="104"/>
      <c r="P539" s="79"/>
      <c r="S539" s="79"/>
      <c r="V539" s="79"/>
    </row>
    <row r="540" spans="7:22" x14ac:dyDescent="0.2">
      <c r="G540" s="79"/>
      <c r="J540" s="79"/>
      <c r="M540" s="104"/>
      <c r="P540" s="79"/>
      <c r="S540" s="79"/>
      <c r="V540" s="79"/>
    </row>
    <row r="541" spans="7:22" x14ac:dyDescent="0.2">
      <c r="G541" s="79"/>
      <c r="J541" s="79"/>
      <c r="M541" s="104"/>
      <c r="P541" s="79"/>
      <c r="S541" s="79"/>
      <c r="V541" s="79"/>
    </row>
    <row r="542" spans="7:22" x14ac:dyDescent="0.2">
      <c r="G542" s="79"/>
      <c r="J542" s="79"/>
      <c r="M542" s="104"/>
      <c r="P542" s="79"/>
      <c r="S542" s="79"/>
      <c r="V542" s="79"/>
    </row>
    <row r="543" spans="7:22" x14ac:dyDescent="0.2">
      <c r="G543" s="79"/>
      <c r="J543" s="79"/>
      <c r="M543" s="104"/>
      <c r="P543" s="79"/>
      <c r="S543" s="79"/>
      <c r="V543" s="79"/>
    </row>
    <row r="544" spans="7:22" x14ac:dyDescent="0.2">
      <c r="G544" s="79"/>
      <c r="J544" s="79"/>
      <c r="M544" s="104"/>
      <c r="P544" s="79"/>
      <c r="S544" s="79"/>
      <c r="V544" s="79"/>
    </row>
    <row r="545" spans="7:22" x14ac:dyDescent="0.2">
      <c r="G545" s="79"/>
      <c r="J545" s="79"/>
      <c r="M545" s="104"/>
      <c r="P545" s="79"/>
      <c r="S545" s="79"/>
      <c r="V545" s="79"/>
    </row>
    <row r="546" spans="7:22" x14ac:dyDescent="0.2">
      <c r="G546" s="79"/>
      <c r="J546" s="79"/>
      <c r="M546" s="104"/>
      <c r="P546" s="79"/>
      <c r="S546" s="79"/>
      <c r="V546" s="79"/>
    </row>
    <row r="547" spans="7:22" x14ac:dyDescent="0.2">
      <c r="G547" s="79"/>
      <c r="J547" s="79"/>
      <c r="M547" s="104"/>
      <c r="P547" s="79"/>
      <c r="S547" s="79"/>
      <c r="V547" s="79"/>
    </row>
    <row r="548" spans="7:22" x14ac:dyDescent="0.2">
      <c r="G548" s="79"/>
      <c r="J548" s="79"/>
      <c r="M548" s="104"/>
      <c r="P548" s="79"/>
      <c r="S548" s="79"/>
      <c r="V548" s="79"/>
    </row>
    <row r="549" spans="7:22" x14ac:dyDescent="0.2">
      <c r="G549" s="79"/>
      <c r="J549" s="79"/>
      <c r="M549" s="104"/>
      <c r="P549" s="79"/>
      <c r="S549" s="79"/>
      <c r="V549" s="79"/>
    </row>
    <row r="550" spans="7:22" x14ac:dyDescent="0.2">
      <c r="G550" s="79"/>
      <c r="J550" s="79"/>
      <c r="M550" s="104"/>
      <c r="P550" s="79"/>
      <c r="S550" s="79"/>
      <c r="V550" s="79"/>
    </row>
    <row r="551" spans="7:22" x14ac:dyDescent="0.2">
      <c r="G551" s="79"/>
      <c r="J551" s="79"/>
      <c r="M551" s="104"/>
      <c r="P551" s="79"/>
      <c r="S551" s="79"/>
      <c r="V551" s="79"/>
    </row>
    <row r="552" spans="7:22" x14ac:dyDescent="0.2">
      <c r="G552" s="79"/>
      <c r="J552" s="79"/>
      <c r="M552" s="104"/>
      <c r="P552" s="79"/>
      <c r="S552" s="79"/>
      <c r="V552" s="79"/>
    </row>
    <row r="553" spans="7:22" x14ac:dyDescent="0.2">
      <c r="G553" s="79"/>
      <c r="J553" s="79"/>
      <c r="M553" s="104"/>
      <c r="P553" s="79"/>
      <c r="S553" s="79"/>
      <c r="V553" s="79"/>
    </row>
    <row r="554" spans="7:22" x14ac:dyDescent="0.2">
      <c r="G554" s="79"/>
      <c r="J554" s="79"/>
      <c r="M554" s="104"/>
      <c r="P554" s="79"/>
      <c r="S554" s="79"/>
      <c r="V554" s="79"/>
    </row>
    <row r="555" spans="7:22" x14ac:dyDescent="0.2">
      <c r="G555" s="79"/>
      <c r="J555" s="79"/>
      <c r="M555" s="104"/>
      <c r="P555" s="79"/>
      <c r="S555" s="79"/>
      <c r="V555" s="79"/>
    </row>
    <row r="556" spans="7:22" x14ac:dyDescent="0.2">
      <c r="G556" s="79"/>
      <c r="J556" s="79"/>
      <c r="M556" s="104"/>
      <c r="P556" s="79"/>
      <c r="S556" s="79"/>
      <c r="V556" s="79"/>
    </row>
    <row r="557" spans="7:22" x14ac:dyDescent="0.2">
      <c r="G557" s="79"/>
      <c r="J557" s="79"/>
      <c r="M557" s="104"/>
      <c r="P557" s="79"/>
      <c r="S557" s="79"/>
      <c r="V557" s="79"/>
    </row>
    <row r="558" spans="7:22" x14ac:dyDescent="0.2">
      <c r="G558" s="79"/>
      <c r="J558" s="79"/>
      <c r="M558" s="104"/>
      <c r="P558" s="79"/>
      <c r="S558" s="79"/>
      <c r="V558" s="79"/>
    </row>
    <row r="559" spans="7:22" x14ac:dyDescent="0.2">
      <c r="G559" s="79"/>
      <c r="J559" s="79"/>
      <c r="M559" s="104"/>
      <c r="P559" s="79"/>
      <c r="S559" s="79"/>
      <c r="V559" s="79"/>
    </row>
    <row r="560" spans="7:22" x14ac:dyDescent="0.2">
      <c r="G560" s="79"/>
      <c r="J560" s="79"/>
      <c r="M560" s="104"/>
      <c r="P560" s="79"/>
      <c r="S560" s="79"/>
      <c r="V560" s="79"/>
    </row>
    <row r="561" spans="7:22" x14ac:dyDescent="0.2">
      <c r="G561" s="79"/>
      <c r="J561" s="79"/>
      <c r="M561" s="104"/>
      <c r="P561" s="79"/>
      <c r="S561" s="79"/>
      <c r="V561" s="79"/>
    </row>
    <row r="562" spans="7:22" x14ac:dyDescent="0.2">
      <c r="G562" s="79"/>
      <c r="J562" s="79"/>
      <c r="M562" s="104"/>
      <c r="P562" s="79"/>
      <c r="S562" s="79"/>
      <c r="V562" s="79"/>
    </row>
    <row r="563" spans="7:22" x14ac:dyDescent="0.2">
      <c r="G563" s="79"/>
      <c r="J563" s="79"/>
      <c r="M563" s="104"/>
      <c r="P563" s="79"/>
      <c r="S563" s="79"/>
      <c r="V563" s="79"/>
    </row>
    <row r="564" spans="7:22" x14ac:dyDescent="0.2">
      <c r="G564" s="79"/>
      <c r="J564" s="79"/>
      <c r="M564" s="104"/>
      <c r="P564" s="79"/>
      <c r="S564" s="79"/>
      <c r="V564" s="79"/>
    </row>
    <row r="565" spans="7:22" x14ac:dyDescent="0.2">
      <c r="G565" s="79"/>
      <c r="J565" s="79"/>
      <c r="M565" s="104"/>
      <c r="P565" s="79"/>
      <c r="S565" s="79"/>
      <c r="V565" s="79"/>
    </row>
    <row r="566" spans="7:22" x14ac:dyDescent="0.2">
      <c r="G566" s="79"/>
      <c r="J566" s="79"/>
      <c r="M566" s="104"/>
      <c r="P566" s="79"/>
      <c r="S566" s="79"/>
      <c r="V566" s="79"/>
    </row>
    <row r="567" spans="7:22" x14ac:dyDescent="0.2">
      <c r="G567" s="79"/>
      <c r="J567" s="79"/>
      <c r="M567" s="104"/>
      <c r="P567" s="79"/>
      <c r="S567" s="79"/>
      <c r="V567" s="79"/>
    </row>
    <row r="568" spans="7:22" x14ac:dyDescent="0.2">
      <c r="G568" s="79"/>
      <c r="J568" s="79"/>
      <c r="M568" s="104"/>
      <c r="P568" s="79"/>
      <c r="S568" s="79"/>
      <c r="V568" s="79"/>
    </row>
    <row r="569" spans="7:22" x14ac:dyDescent="0.2">
      <c r="G569" s="79"/>
      <c r="J569" s="79"/>
      <c r="M569" s="104"/>
      <c r="P569" s="79"/>
      <c r="S569" s="79"/>
      <c r="V569" s="79"/>
    </row>
    <row r="570" spans="7:22" x14ac:dyDescent="0.2">
      <c r="G570" s="79"/>
      <c r="J570" s="79"/>
      <c r="M570" s="104"/>
      <c r="P570" s="79"/>
      <c r="S570" s="79"/>
      <c r="V570" s="79"/>
    </row>
    <row r="571" spans="7:22" x14ac:dyDescent="0.2">
      <c r="G571" s="79"/>
      <c r="J571" s="79"/>
      <c r="M571" s="104"/>
      <c r="P571" s="79"/>
      <c r="S571" s="79"/>
      <c r="V571" s="79"/>
    </row>
    <row r="572" spans="7:22" x14ac:dyDescent="0.2">
      <c r="G572" s="79"/>
      <c r="J572" s="79"/>
      <c r="M572" s="104"/>
      <c r="P572" s="79"/>
      <c r="S572" s="79"/>
      <c r="V572" s="79"/>
    </row>
    <row r="573" spans="7:22" x14ac:dyDescent="0.2">
      <c r="G573" s="79"/>
      <c r="J573" s="79"/>
      <c r="M573" s="104"/>
      <c r="P573" s="79"/>
      <c r="S573" s="79"/>
      <c r="V573" s="79"/>
    </row>
    <row r="574" spans="7:22" x14ac:dyDescent="0.2">
      <c r="G574" s="79"/>
      <c r="J574" s="79"/>
      <c r="M574" s="104"/>
      <c r="P574" s="79"/>
      <c r="S574" s="79"/>
      <c r="V574" s="79"/>
    </row>
    <row r="575" spans="7:22" x14ac:dyDescent="0.2">
      <c r="G575" s="79"/>
      <c r="J575" s="79"/>
      <c r="M575" s="104"/>
      <c r="P575" s="79"/>
      <c r="S575" s="79"/>
      <c r="V575" s="79"/>
    </row>
    <row r="576" spans="7:22" x14ac:dyDescent="0.2">
      <c r="G576" s="79"/>
      <c r="J576" s="79"/>
      <c r="M576" s="104"/>
      <c r="P576" s="79"/>
      <c r="S576" s="79"/>
      <c r="V576" s="79"/>
    </row>
    <row r="577" spans="7:22" x14ac:dyDescent="0.2">
      <c r="G577" s="79"/>
      <c r="J577" s="79"/>
      <c r="M577" s="104"/>
      <c r="P577" s="79"/>
      <c r="S577" s="79"/>
      <c r="V577" s="79"/>
    </row>
    <row r="578" spans="7:22" x14ac:dyDescent="0.2">
      <c r="G578" s="79"/>
      <c r="J578" s="79"/>
      <c r="M578" s="104"/>
      <c r="P578" s="79"/>
      <c r="S578" s="79"/>
      <c r="V578" s="79"/>
    </row>
    <row r="579" spans="7:22" x14ac:dyDescent="0.2">
      <c r="G579" s="79"/>
      <c r="J579" s="79"/>
      <c r="M579" s="104"/>
      <c r="P579" s="79"/>
      <c r="S579" s="79"/>
      <c r="V579" s="79"/>
    </row>
    <row r="580" spans="7:22" x14ac:dyDescent="0.2">
      <c r="G580" s="79"/>
      <c r="J580" s="79"/>
      <c r="M580" s="104"/>
      <c r="P580" s="79"/>
      <c r="S580" s="79"/>
      <c r="V580" s="79"/>
    </row>
    <row r="581" spans="7:22" x14ac:dyDescent="0.2">
      <c r="G581" s="79"/>
      <c r="J581" s="79"/>
      <c r="M581" s="104"/>
      <c r="P581" s="79"/>
      <c r="S581" s="79"/>
      <c r="V581" s="79"/>
    </row>
    <row r="582" spans="7:22" x14ac:dyDescent="0.2">
      <c r="G582" s="79"/>
      <c r="J582" s="79"/>
      <c r="M582" s="104"/>
      <c r="P582" s="79"/>
      <c r="S582" s="79"/>
      <c r="V582" s="79"/>
    </row>
    <row r="583" spans="7:22" x14ac:dyDescent="0.2">
      <c r="G583" s="79"/>
      <c r="J583" s="79"/>
      <c r="M583" s="104"/>
      <c r="P583" s="79"/>
      <c r="S583" s="79"/>
      <c r="V583" s="79"/>
    </row>
    <row r="584" spans="7:22" x14ac:dyDescent="0.2">
      <c r="G584" s="79"/>
      <c r="J584" s="79"/>
      <c r="M584" s="104"/>
      <c r="P584" s="79"/>
      <c r="S584" s="79"/>
      <c r="V584" s="79"/>
    </row>
    <row r="585" spans="7:22" x14ac:dyDescent="0.2">
      <c r="G585" s="79"/>
      <c r="J585" s="79"/>
      <c r="M585" s="104"/>
      <c r="P585" s="79"/>
      <c r="S585" s="79"/>
      <c r="V585" s="79"/>
    </row>
    <row r="586" spans="7:22" x14ac:dyDescent="0.2">
      <c r="G586" s="79"/>
      <c r="J586" s="79"/>
      <c r="M586" s="104"/>
      <c r="P586" s="79"/>
      <c r="S586" s="79"/>
      <c r="V586" s="79"/>
    </row>
    <row r="587" spans="7:22" x14ac:dyDescent="0.2">
      <c r="G587" s="79"/>
      <c r="J587" s="79"/>
      <c r="M587" s="104"/>
      <c r="P587" s="79"/>
      <c r="S587" s="79"/>
      <c r="V587" s="79"/>
    </row>
    <row r="588" spans="7:22" x14ac:dyDescent="0.2">
      <c r="G588" s="79"/>
      <c r="J588" s="79"/>
      <c r="M588" s="104"/>
      <c r="P588" s="79"/>
      <c r="S588" s="79"/>
      <c r="V588" s="79"/>
    </row>
    <row r="589" spans="7:22" x14ac:dyDescent="0.2">
      <c r="G589" s="79"/>
      <c r="J589" s="79"/>
      <c r="M589" s="104"/>
      <c r="P589" s="79"/>
      <c r="S589" s="79"/>
      <c r="V589" s="79"/>
    </row>
    <row r="590" spans="7:22" x14ac:dyDescent="0.2">
      <c r="G590" s="79"/>
      <c r="J590" s="79"/>
      <c r="M590" s="104"/>
      <c r="P590" s="79"/>
      <c r="S590" s="79"/>
      <c r="V590" s="79"/>
    </row>
    <row r="591" spans="7:22" x14ac:dyDescent="0.2">
      <c r="G591" s="79"/>
      <c r="J591" s="79"/>
      <c r="M591" s="104"/>
      <c r="P591" s="79"/>
      <c r="S591" s="79"/>
      <c r="V591" s="79"/>
    </row>
    <row r="592" spans="7:22" x14ac:dyDescent="0.2">
      <c r="G592" s="79"/>
      <c r="J592" s="79"/>
      <c r="M592" s="104"/>
      <c r="P592" s="79"/>
      <c r="S592" s="79"/>
      <c r="V592" s="79"/>
    </row>
    <row r="593" spans="7:22" x14ac:dyDescent="0.2">
      <c r="G593" s="79"/>
      <c r="J593" s="79"/>
      <c r="M593" s="104"/>
      <c r="P593" s="79"/>
      <c r="S593" s="79"/>
      <c r="V593" s="79"/>
    </row>
    <row r="594" spans="7:22" x14ac:dyDescent="0.2">
      <c r="G594" s="79"/>
      <c r="J594" s="79"/>
      <c r="M594" s="104"/>
      <c r="P594" s="79"/>
      <c r="S594" s="79"/>
      <c r="V594" s="79"/>
    </row>
    <row r="595" spans="7:22" x14ac:dyDescent="0.2">
      <c r="G595" s="79"/>
      <c r="J595" s="79"/>
      <c r="M595" s="104"/>
      <c r="P595" s="79"/>
      <c r="S595" s="79"/>
      <c r="V595" s="79"/>
    </row>
    <row r="596" spans="7:22" x14ac:dyDescent="0.2">
      <c r="G596" s="79"/>
      <c r="J596" s="79"/>
      <c r="M596" s="104"/>
      <c r="P596" s="79"/>
      <c r="S596" s="79"/>
      <c r="V596" s="79"/>
    </row>
    <row r="597" spans="7:22" x14ac:dyDescent="0.2">
      <c r="G597" s="79"/>
      <c r="J597" s="79"/>
      <c r="M597" s="104"/>
      <c r="P597" s="79"/>
      <c r="S597" s="79"/>
      <c r="V597" s="79"/>
    </row>
    <row r="598" spans="7:22" x14ac:dyDescent="0.2">
      <c r="G598" s="79"/>
      <c r="J598" s="79"/>
      <c r="M598" s="104"/>
      <c r="P598" s="79"/>
      <c r="S598" s="79"/>
      <c r="V598" s="79"/>
    </row>
    <row r="599" spans="7:22" x14ac:dyDescent="0.2">
      <c r="G599" s="79"/>
      <c r="J599" s="79"/>
      <c r="M599" s="104"/>
      <c r="P599" s="79"/>
      <c r="S599" s="79"/>
      <c r="V599" s="79"/>
    </row>
    <row r="600" spans="7:22" x14ac:dyDescent="0.2">
      <c r="G600" s="79"/>
      <c r="J600" s="79"/>
      <c r="M600" s="104"/>
      <c r="P600" s="79"/>
      <c r="S600" s="79"/>
      <c r="V600" s="79"/>
    </row>
    <row r="601" spans="7:22" x14ac:dyDescent="0.2">
      <c r="G601" s="79"/>
      <c r="J601" s="79"/>
      <c r="M601" s="104"/>
      <c r="P601" s="79"/>
      <c r="S601" s="79"/>
      <c r="V601" s="79"/>
    </row>
    <row r="602" spans="7:22" x14ac:dyDescent="0.2">
      <c r="G602" s="79"/>
      <c r="J602" s="79"/>
      <c r="M602" s="104"/>
      <c r="P602" s="79"/>
      <c r="S602" s="79"/>
      <c r="V602" s="79"/>
    </row>
    <row r="603" spans="7:22" x14ac:dyDescent="0.2">
      <c r="G603" s="79"/>
      <c r="J603" s="79"/>
      <c r="M603" s="104"/>
      <c r="P603" s="79"/>
      <c r="S603" s="79"/>
      <c r="V603" s="79"/>
    </row>
    <row r="604" spans="7:22" x14ac:dyDescent="0.2">
      <c r="G604" s="79"/>
      <c r="J604" s="79"/>
      <c r="M604" s="104"/>
      <c r="P604" s="79"/>
      <c r="S604" s="79"/>
      <c r="V604" s="79"/>
    </row>
    <row r="605" spans="7:22" x14ac:dyDescent="0.2">
      <c r="G605" s="79"/>
      <c r="J605" s="79"/>
      <c r="M605" s="104"/>
      <c r="P605" s="79"/>
      <c r="S605" s="79"/>
      <c r="V605" s="79"/>
    </row>
    <row r="606" spans="7:22" x14ac:dyDescent="0.2">
      <c r="G606" s="79"/>
      <c r="J606" s="79"/>
      <c r="M606" s="104"/>
      <c r="P606" s="79"/>
      <c r="S606" s="79"/>
      <c r="V606" s="79"/>
    </row>
    <row r="607" spans="7:22" x14ac:dyDescent="0.2">
      <c r="G607" s="79"/>
      <c r="J607" s="79"/>
      <c r="M607" s="104"/>
      <c r="P607" s="79"/>
      <c r="S607" s="79"/>
      <c r="V607" s="79"/>
    </row>
    <row r="608" spans="7:22" x14ac:dyDescent="0.2">
      <c r="G608" s="79"/>
      <c r="J608" s="79"/>
      <c r="M608" s="104"/>
      <c r="P608" s="79"/>
      <c r="S608" s="79"/>
      <c r="V608" s="79"/>
    </row>
    <row r="609" spans="7:22" x14ac:dyDescent="0.2">
      <c r="G609" s="79"/>
      <c r="J609" s="79"/>
      <c r="M609" s="104"/>
      <c r="P609" s="79"/>
      <c r="S609" s="79"/>
      <c r="V609" s="79"/>
    </row>
    <row r="610" spans="7:22" x14ac:dyDescent="0.2">
      <c r="G610" s="79"/>
      <c r="J610" s="79"/>
      <c r="M610" s="104"/>
      <c r="P610" s="79"/>
      <c r="S610" s="79"/>
      <c r="V610" s="79"/>
    </row>
    <row r="611" spans="7:22" x14ac:dyDescent="0.2">
      <c r="G611" s="79"/>
      <c r="J611" s="79"/>
      <c r="M611" s="104"/>
      <c r="P611" s="79"/>
      <c r="S611" s="79"/>
      <c r="V611" s="79"/>
    </row>
    <row r="612" spans="7:22" x14ac:dyDescent="0.2">
      <c r="G612" s="79"/>
      <c r="J612" s="79"/>
      <c r="M612" s="104"/>
      <c r="P612" s="79"/>
      <c r="S612" s="79"/>
      <c r="V612" s="79"/>
    </row>
    <row r="613" spans="7:22" x14ac:dyDescent="0.2">
      <c r="G613" s="79"/>
      <c r="J613" s="79"/>
      <c r="M613" s="104"/>
      <c r="P613" s="79"/>
      <c r="S613" s="79"/>
      <c r="V613" s="79"/>
    </row>
    <row r="614" spans="7:22" x14ac:dyDescent="0.2">
      <c r="G614" s="79"/>
      <c r="J614" s="79"/>
      <c r="M614" s="104"/>
      <c r="P614" s="79"/>
      <c r="S614" s="79"/>
      <c r="V614" s="79"/>
    </row>
    <row r="615" spans="7:22" x14ac:dyDescent="0.2">
      <c r="G615" s="79"/>
      <c r="J615" s="79"/>
      <c r="M615" s="104"/>
      <c r="P615" s="79"/>
      <c r="S615" s="79"/>
      <c r="V615" s="79"/>
    </row>
    <row r="616" spans="7:22" x14ac:dyDescent="0.2">
      <c r="G616" s="79"/>
      <c r="J616" s="79"/>
      <c r="M616" s="104"/>
      <c r="P616" s="79"/>
      <c r="S616" s="79"/>
      <c r="V616" s="79"/>
    </row>
    <row r="617" spans="7:22" x14ac:dyDescent="0.2">
      <c r="G617" s="79"/>
      <c r="J617" s="79"/>
      <c r="M617" s="104"/>
      <c r="P617" s="79"/>
      <c r="S617" s="79"/>
      <c r="V617" s="79"/>
    </row>
    <row r="618" spans="7:22" x14ac:dyDescent="0.2">
      <c r="G618" s="79"/>
      <c r="J618" s="79"/>
      <c r="M618" s="104"/>
      <c r="P618" s="79"/>
      <c r="S618" s="79"/>
      <c r="V618" s="79"/>
    </row>
    <row r="619" spans="7:22" x14ac:dyDescent="0.2">
      <c r="G619" s="79"/>
      <c r="J619" s="79"/>
      <c r="M619" s="104"/>
      <c r="P619" s="79"/>
      <c r="S619" s="79"/>
      <c r="V619" s="79"/>
    </row>
    <row r="620" spans="7:22" x14ac:dyDescent="0.2">
      <c r="G620" s="79"/>
      <c r="J620" s="79"/>
      <c r="M620" s="104"/>
      <c r="P620" s="79"/>
      <c r="S620" s="79"/>
      <c r="V620" s="79"/>
    </row>
    <row r="621" spans="7:22" x14ac:dyDescent="0.2">
      <c r="G621" s="79"/>
      <c r="J621" s="79"/>
      <c r="M621" s="104"/>
      <c r="P621" s="79"/>
      <c r="S621" s="79"/>
      <c r="V621" s="79"/>
    </row>
    <row r="622" spans="7:22" x14ac:dyDescent="0.2">
      <c r="G622" s="79"/>
      <c r="J622" s="79"/>
      <c r="M622" s="104"/>
      <c r="P622" s="79"/>
      <c r="S622" s="79"/>
      <c r="V622" s="79"/>
    </row>
    <row r="623" spans="7:22" x14ac:dyDescent="0.2">
      <c r="G623" s="79"/>
      <c r="J623" s="79"/>
      <c r="M623" s="104"/>
      <c r="P623" s="79"/>
      <c r="S623" s="79"/>
      <c r="V623" s="79"/>
    </row>
    <row r="624" spans="7:22" x14ac:dyDescent="0.2">
      <c r="G624" s="79"/>
      <c r="J624" s="79"/>
      <c r="M624" s="104"/>
      <c r="P624" s="79"/>
      <c r="S624" s="79"/>
      <c r="V624" s="79"/>
    </row>
    <row r="625" spans="7:22" x14ac:dyDescent="0.2">
      <c r="G625" s="79"/>
      <c r="J625" s="79"/>
      <c r="M625" s="104"/>
      <c r="P625" s="79"/>
      <c r="S625" s="79"/>
      <c r="V625" s="79"/>
    </row>
    <row r="626" spans="7:22" x14ac:dyDescent="0.2">
      <c r="G626" s="79"/>
      <c r="J626" s="79"/>
      <c r="M626" s="104"/>
      <c r="P626" s="79"/>
      <c r="S626" s="79"/>
      <c r="V626" s="79"/>
    </row>
    <row r="627" spans="7:22" x14ac:dyDescent="0.2">
      <c r="G627" s="79"/>
      <c r="J627" s="79"/>
      <c r="M627" s="104"/>
      <c r="P627" s="79"/>
      <c r="S627" s="79"/>
      <c r="V627" s="79"/>
    </row>
    <row r="628" spans="7:22" x14ac:dyDescent="0.2">
      <c r="G628" s="79"/>
      <c r="J628" s="79"/>
      <c r="M628" s="104"/>
      <c r="P628" s="79"/>
      <c r="S628" s="79"/>
      <c r="V628" s="79"/>
    </row>
    <row r="629" spans="7:22" x14ac:dyDescent="0.2">
      <c r="G629" s="79"/>
      <c r="J629" s="79"/>
      <c r="M629" s="104"/>
      <c r="P629" s="79"/>
      <c r="S629" s="79"/>
      <c r="V629" s="79"/>
    </row>
    <row r="630" spans="7:22" x14ac:dyDescent="0.2">
      <c r="G630" s="79"/>
      <c r="J630" s="79"/>
      <c r="M630" s="104"/>
      <c r="P630" s="79"/>
      <c r="S630" s="79"/>
      <c r="V630" s="79"/>
    </row>
    <row r="631" spans="7:22" x14ac:dyDescent="0.2">
      <c r="G631" s="79"/>
      <c r="J631" s="79"/>
      <c r="M631" s="104"/>
      <c r="P631" s="79"/>
      <c r="S631" s="79"/>
      <c r="V631" s="79"/>
    </row>
    <row r="632" spans="7:22" x14ac:dyDescent="0.2">
      <c r="G632" s="79"/>
      <c r="J632" s="79"/>
      <c r="M632" s="104"/>
      <c r="P632" s="79"/>
      <c r="S632" s="79"/>
      <c r="V632" s="79"/>
    </row>
    <row r="633" spans="7:22" x14ac:dyDescent="0.2">
      <c r="G633" s="79"/>
      <c r="J633" s="79"/>
      <c r="M633" s="104"/>
      <c r="P633" s="79"/>
      <c r="S633" s="79"/>
      <c r="V633" s="79"/>
    </row>
    <row r="634" spans="7:22" x14ac:dyDescent="0.2">
      <c r="G634" s="79"/>
      <c r="J634" s="79"/>
      <c r="M634" s="104"/>
      <c r="P634" s="79"/>
      <c r="S634" s="79"/>
      <c r="V634" s="79"/>
    </row>
    <row r="635" spans="7:22" x14ac:dyDescent="0.2">
      <c r="G635" s="79"/>
      <c r="J635" s="79"/>
      <c r="M635" s="104"/>
      <c r="P635" s="79"/>
      <c r="S635" s="79"/>
      <c r="V635" s="79"/>
    </row>
    <row r="636" spans="7:22" x14ac:dyDescent="0.2">
      <c r="G636" s="79"/>
      <c r="J636" s="79"/>
      <c r="M636" s="104"/>
      <c r="P636" s="79"/>
      <c r="S636" s="79"/>
      <c r="V636" s="79"/>
    </row>
    <row r="637" spans="7:22" x14ac:dyDescent="0.2">
      <c r="G637" s="79"/>
      <c r="J637" s="79"/>
      <c r="M637" s="104"/>
      <c r="P637" s="79"/>
      <c r="S637" s="79"/>
      <c r="V637" s="79"/>
    </row>
    <row r="638" spans="7:22" x14ac:dyDescent="0.2">
      <c r="G638" s="79"/>
      <c r="J638" s="79"/>
      <c r="M638" s="104"/>
      <c r="P638" s="79"/>
      <c r="S638" s="79"/>
      <c r="V638" s="79"/>
    </row>
    <row r="639" spans="7:22" x14ac:dyDescent="0.2">
      <c r="G639" s="79"/>
      <c r="J639" s="79"/>
      <c r="M639" s="104"/>
      <c r="P639" s="79"/>
      <c r="S639" s="79"/>
      <c r="V639" s="79"/>
    </row>
    <row r="640" spans="7:22" x14ac:dyDescent="0.2">
      <c r="G640" s="79"/>
      <c r="J640" s="79"/>
      <c r="M640" s="104"/>
      <c r="P640" s="79"/>
      <c r="S640" s="79"/>
      <c r="V640" s="79"/>
    </row>
    <row r="641" spans="7:22" x14ac:dyDescent="0.2">
      <c r="G641" s="79"/>
      <c r="J641" s="79"/>
      <c r="M641" s="104"/>
      <c r="P641" s="79"/>
      <c r="S641" s="79"/>
      <c r="V641" s="79"/>
    </row>
    <row r="642" spans="7:22" x14ac:dyDescent="0.2">
      <c r="G642" s="79"/>
      <c r="J642" s="79"/>
      <c r="M642" s="104"/>
      <c r="P642" s="79"/>
      <c r="S642" s="79"/>
      <c r="V642" s="79"/>
    </row>
    <row r="643" spans="7:22" x14ac:dyDescent="0.2">
      <c r="G643" s="79"/>
      <c r="J643" s="79"/>
      <c r="M643" s="104"/>
      <c r="P643" s="79"/>
      <c r="S643" s="79"/>
      <c r="V643" s="79"/>
    </row>
    <row r="644" spans="7:22" x14ac:dyDescent="0.2">
      <c r="G644" s="79"/>
      <c r="J644" s="79"/>
      <c r="M644" s="104"/>
      <c r="P644" s="79"/>
      <c r="S644" s="79"/>
      <c r="V644" s="79"/>
    </row>
    <row r="645" spans="7:22" x14ac:dyDescent="0.2">
      <c r="G645" s="79"/>
      <c r="J645" s="79"/>
      <c r="M645" s="104"/>
      <c r="P645" s="79"/>
      <c r="S645" s="79"/>
      <c r="V645" s="79"/>
    </row>
    <row r="646" spans="7:22" x14ac:dyDescent="0.2">
      <c r="G646" s="79"/>
      <c r="J646" s="79"/>
      <c r="M646" s="104"/>
      <c r="P646" s="79"/>
      <c r="S646" s="79"/>
      <c r="V646" s="79"/>
    </row>
    <row r="647" spans="7:22" x14ac:dyDescent="0.2">
      <c r="G647" s="79"/>
      <c r="J647" s="79"/>
      <c r="M647" s="104"/>
      <c r="P647" s="79"/>
      <c r="S647" s="79"/>
      <c r="V647" s="79"/>
    </row>
    <row r="648" spans="7:22" x14ac:dyDescent="0.2">
      <c r="G648" s="79"/>
      <c r="J648" s="79"/>
      <c r="M648" s="104"/>
      <c r="P648" s="79"/>
      <c r="S648" s="79"/>
      <c r="V648" s="79"/>
    </row>
    <row r="649" spans="7:22" x14ac:dyDescent="0.2">
      <c r="G649" s="79"/>
      <c r="J649" s="79"/>
      <c r="M649" s="104"/>
      <c r="P649" s="79"/>
      <c r="S649" s="79"/>
      <c r="V649" s="79"/>
    </row>
    <row r="650" spans="7:22" x14ac:dyDescent="0.2">
      <c r="G650" s="79"/>
      <c r="J650" s="79"/>
      <c r="M650" s="104"/>
      <c r="P650" s="79"/>
      <c r="S650" s="79"/>
      <c r="V650" s="79"/>
    </row>
    <row r="651" spans="7:22" x14ac:dyDescent="0.2">
      <c r="G651" s="79"/>
      <c r="J651" s="79"/>
      <c r="M651" s="104"/>
      <c r="P651" s="79"/>
      <c r="S651" s="79"/>
      <c r="V651" s="79"/>
    </row>
    <row r="652" spans="7:22" x14ac:dyDescent="0.2">
      <c r="G652" s="79"/>
      <c r="J652" s="79"/>
      <c r="M652" s="104"/>
      <c r="P652" s="79"/>
      <c r="S652" s="79"/>
      <c r="V652" s="79"/>
    </row>
    <row r="653" spans="7:22" x14ac:dyDescent="0.2">
      <c r="G653" s="79"/>
      <c r="J653" s="79"/>
      <c r="M653" s="104"/>
      <c r="P653" s="79"/>
      <c r="S653" s="79"/>
      <c r="V653" s="79"/>
    </row>
    <row r="654" spans="7:22" x14ac:dyDescent="0.2">
      <c r="G654" s="79"/>
      <c r="J654" s="79"/>
      <c r="M654" s="104"/>
      <c r="P654" s="79"/>
      <c r="S654" s="79"/>
      <c r="V654" s="79"/>
    </row>
    <row r="655" spans="7:22" x14ac:dyDescent="0.2">
      <c r="G655" s="79"/>
      <c r="J655" s="79"/>
      <c r="M655" s="104"/>
      <c r="P655" s="79"/>
      <c r="S655" s="79"/>
      <c r="V655" s="79"/>
    </row>
    <row r="656" spans="7:22" x14ac:dyDescent="0.2">
      <c r="G656" s="79"/>
      <c r="J656" s="79"/>
      <c r="M656" s="104"/>
      <c r="P656" s="79"/>
      <c r="S656" s="79"/>
      <c r="V656" s="79"/>
    </row>
    <row r="657" spans="7:22" x14ac:dyDescent="0.2">
      <c r="G657" s="79"/>
      <c r="J657" s="79"/>
      <c r="M657" s="104"/>
      <c r="P657" s="79"/>
      <c r="S657" s="79"/>
      <c r="V657" s="79"/>
    </row>
    <row r="658" spans="7:22" x14ac:dyDescent="0.2">
      <c r="G658" s="79"/>
      <c r="J658" s="79"/>
      <c r="M658" s="104"/>
      <c r="P658" s="79"/>
      <c r="S658" s="79"/>
      <c r="V658" s="79"/>
    </row>
    <row r="659" spans="7:22" x14ac:dyDescent="0.2">
      <c r="G659" s="79"/>
      <c r="J659" s="79"/>
      <c r="M659" s="104"/>
      <c r="P659" s="79"/>
      <c r="S659" s="79"/>
      <c r="V659" s="79"/>
    </row>
    <row r="660" spans="7:22" x14ac:dyDescent="0.2">
      <c r="G660" s="79"/>
      <c r="J660" s="79"/>
      <c r="M660" s="104"/>
      <c r="P660" s="79"/>
      <c r="S660" s="79"/>
      <c r="V660" s="79"/>
    </row>
    <row r="661" spans="7:22" x14ac:dyDescent="0.2">
      <c r="G661" s="79"/>
      <c r="J661" s="79"/>
      <c r="M661" s="104"/>
      <c r="P661" s="79"/>
      <c r="S661" s="79"/>
      <c r="V661" s="79"/>
    </row>
    <row r="662" spans="7:22" x14ac:dyDescent="0.2">
      <c r="G662" s="79"/>
      <c r="J662" s="79"/>
      <c r="M662" s="104"/>
      <c r="P662" s="79"/>
      <c r="S662" s="79"/>
      <c r="V662" s="79"/>
    </row>
    <row r="663" spans="7:22" x14ac:dyDescent="0.2">
      <c r="G663" s="79"/>
      <c r="J663" s="79"/>
      <c r="M663" s="104"/>
      <c r="P663" s="79"/>
      <c r="S663" s="79"/>
      <c r="V663" s="79"/>
    </row>
    <row r="664" spans="7:22" x14ac:dyDescent="0.2">
      <c r="G664" s="79"/>
      <c r="J664" s="79"/>
      <c r="M664" s="104"/>
      <c r="P664" s="79"/>
      <c r="S664" s="79"/>
      <c r="V664" s="79"/>
    </row>
    <row r="665" spans="7:22" x14ac:dyDescent="0.2">
      <c r="G665" s="79"/>
      <c r="J665" s="79"/>
      <c r="M665" s="104"/>
      <c r="P665" s="79"/>
      <c r="S665" s="79"/>
      <c r="V665" s="79"/>
    </row>
    <row r="666" spans="7:22" x14ac:dyDescent="0.2">
      <c r="G666" s="79"/>
      <c r="J666" s="79"/>
      <c r="M666" s="104"/>
      <c r="P666" s="79"/>
      <c r="S666" s="79"/>
      <c r="V666" s="79"/>
    </row>
    <row r="667" spans="7:22" x14ac:dyDescent="0.2">
      <c r="G667" s="79"/>
      <c r="J667" s="79"/>
      <c r="M667" s="104"/>
      <c r="P667" s="79"/>
      <c r="S667" s="79"/>
      <c r="V667" s="79"/>
    </row>
    <row r="668" spans="7:22" x14ac:dyDescent="0.2">
      <c r="G668" s="79"/>
      <c r="J668" s="79"/>
      <c r="M668" s="104"/>
      <c r="P668" s="79"/>
      <c r="S668" s="79"/>
      <c r="V668" s="79"/>
    </row>
    <row r="669" spans="7:22" x14ac:dyDescent="0.2">
      <c r="G669" s="79"/>
      <c r="J669" s="79"/>
      <c r="M669" s="104"/>
      <c r="P669" s="79"/>
      <c r="S669" s="79"/>
      <c r="V669" s="79"/>
    </row>
    <row r="670" spans="7:22" x14ac:dyDescent="0.2">
      <c r="G670" s="79"/>
      <c r="J670" s="79"/>
      <c r="M670" s="104"/>
      <c r="P670" s="79"/>
      <c r="S670" s="79"/>
      <c r="V670" s="79"/>
    </row>
    <row r="671" spans="7:22" x14ac:dyDescent="0.2">
      <c r="G671" s="79"/>
      <c r="J671" s="79"/>
      <c r="M671" s="104"/>
      <c r="P671" s="79"/>
      <c r="S671" s="79"/>
      <c r="V671" s="79"/>
    </row>
    <row r="672" spans="7:22" x14ac:dyDescent="0.2">
      <c r="G672" s="79"/>
      <c r="J672" s="79"/>
      <c r="M672" s="104"/>
      <c r="P672" s="79"/>
      <c r="S672" s="79"/>
      <c r="V672" s="79"/>
    </row>
    <row r="673" spans="7:22" x14ac:dyDescent="0.2">
      <c r="G673" s="79"/>
      <c r="J673" s="79"/>
      <c r="M673" s="104"/>
      <c r="P673" s="79"/>
      <c r="S673" s="79"/>
      <c r="V673" s="79"/>
    </row>
    <row r="674" spans="7:22" x14ac:dyDescent="0.2">
      <c r="G674" s="79"/>
      <c r="J674" s="79"/>
      <c r="M674" s="104"/>
      <c r="P674" s="79"/>
      <c r="S674" s="79"/>
      <c r="V674" s="79"/>
    </row>
    <row r="675" spans="7:22" x14ac:dyDescent="0.2">
      <c r="G675" s="79"/>
      <c r="J675" s="79"/>
      <c r="M675" s="104"/>
      <c r="P675" s="79"/>
      <c r="S675" s="79"/>
      <c r="V675" s="79"/>
    </row>
    <row r="676" spans="7:22" x14ac:dyDescent="0.2">
      <c r="G676" s="79"/>
      <c r="J676" s="79"/>
      <c r="M676" s="104"/>
      <c r="P676" s="79"/>
      <c r="S676" s="79"/>
      <c r="V676" s="79"/>
    </row>
    <row r="677" spans="7:22" x14ac:dyDescent="0.2">
      <c r="G677" s="79"/>
      <c r="J677" s="79"/>
      <c r="M677" s="104"/>
      <c r="P677" s="79"/>
      <c r="S677" s="79"/>
      <c r="V677" s="79"/>
    </row>
    <row r="678" spans="7:22" x14ac:dyDescent="0.2">
      <c r="G678" s="79"/>
      <c r="J678" s="79"/>
      <c r="M678" s="104"/>
      <c r="P678" s="79"/>
      <c r="S678" s="79"/>
      <c r="V678" s="79"/>
    </row>
    <row r="679" spans="7:22" x14ac:dyDescent="0.2">
      <c r="G679" s="79"/>
      <c r="J679" s="79"/>
      <c r="M679" s="104"/>
      <c r="P679" s="79"/>
      <c r="S679" s="79"/>
      <c r="V679" s="79"/>
    </row>
    <row r="680" spans="7:22" x14ac:dyDescent="0.2">
      <c r="G680" s="79"/>
      <c r="J680" s="79"/>
      <c r="M680" s="104"/>
      <c r="P680" s="79"/>
      <c r="S680" s="79"/>
      <c r="V680" s="79"/>
    </row>
    <row r="681" spans="7:22" x14ac:dyDescent="0.2">
      <c r="G681" s="79"/>
      <c r="J681" s="79"/>
      <c r="M681" s="104"/>
      <c r="P681" s="79"/>
      <c r="S681" s="79"/>
      <c r="V681" s="79"/>
    </row>
    <row r="682" spans="7:22" x14ac:dyDescent="0.2">
      <c r="G682" s="79"/>
      <c r="J682" s="79"/>
      <c r="M682" s="104"/>
      <c r="P682" s="79"/>
      <c r="S682" s="79"/>
      <c r="V682" s="79"/>
    </row>
    <row r="683" spans="7:22" x14ac:dyDescent="0.2">
      <c r="G683" s="79"/>
      <c r="J683" s="79"/>
      <c r="M683" s="104"/>
      <c r="P683" s="79"/>
      <c r="S683" s="79"/>
      <c r="V683" s="79"/>
    </row>
    <row r="684" spans="7:22" x14ac:dyDescent="0.2">
      <c r="G684" s="79"/>
      <c r="J684" s="79"/>
      <c r="M684" s="104"/>
      <c r="P684" s="79"/>
      <c r="S684" s="79"/>
      <c r="V684" s="79"/>
    </row>
    <row r="685" spans="7:22" x14ac:dyDescent="0.2">
      <c r="G685" s="79"/>
      <c r="J685" s="79"/>
      <c r="M685" s="104"/>
      <c r="P685" s="79"/>
      <c r="S685" s="79"/>
      <c r="V685" s="79"/>
    </row>
    <row r="686" spans="7:22" x14ac:dyDescent="0.2">
      <c r="G686" s="79"/>
      <c r="J686" s="79"/>
      <c r="M686" s="104"/>
      <c r="P686" s="79"/>
      <c r="S686" s="79"/>
      <c r="V686" s="79"/>
    </row>
    <row r="687" spans="7:22" x14ac:dyDescent="0.2">
      <c r="G687" s="79"/>
      <c r="J687" s="79"/>
      <c r="M687" s="104"/>
      <c r="P687" s="79"/>
      <c r="S687" s="79"/>
      <c r="V687" s="79"/>
    </row>
    <row r="688" spans="7:22" x14ac:dyDescent="0.2">
      <c r="G688" s="79"/>
      <c r="J688" s="79"/>
      <c r="M688" s="104"/>
      <c r="P688" s="79"/>
      <c r="S688" s="79"/>
      <c r="V688" s="79"/>
    </row>
    <row r="689" spans="7:22" x14ac:dyDescent="0.2">
      <c r="G689" s="79"/>
      <c r="J689" s="79"/>
      <c r="M689" s="104"/>
      <c r="P689" s="79"/>
      <c r="S689" s="79"/>
      <c r="V689" s="79"/>
    </row>
    <row r="690" spans="7:22" x14ac:dyDescent="0.2">
      <c r="G690" s="79"/>
      <c r="J690" s="79"/>
      <c r="M690" s="104"/>
      <c r="P690" s="79"/>
      <c r="S690" s="79"/>
      <c r="V690" s="79"/>
    </row>
    <row r="691" spans="7:22" x14ac:dyDescent="0.2">
      <c r="G691" s="79"/>
      <c r="J691" s="79"/>
      <c r="M691" s="104"/>
      <c r="P691" s="79"/>
      <c r="S691" s="79"/>
      <c r="V691" s="79"/>
    </row>
    <row r="692" spans="7:22" x14ac:dyDescent="0.2">
      <c r="G692" s="79"/>
      <c r="J692" s="79"/>
      <c r="M692" s="104"/>
      <c r="P692" s="79"/>
      <c r="S692" s="79"/>
      <c r="V692" s="79"/>
    </row>
    <row r="693" spans="7:22" x14ac:dyDescent="0.2">
      <c r="G693" s="79"/>
      <c r="J693" s="79"/>
      <c r="M693" s="104"/>
      <c r="P693" s="79"/>
      <c r="S693" s="79"/>
      <c r="V693" s="79"/>
    </row>
    <row r="694" spans="7:22" x14ac:dyDescent="0.2">
      <c r="G694" s="79"/>
      <c r="J694" s="79"/>
      <c r="M694" s="104"/>
      <c r="P694" s="79"/>
      <c r="S694" s="79"/>
      <c r="V694" s="79"/>
    </row>
    <row r="695" spans="7:22" x14ac:dyDescent="0.2">
      <c r="G695" s="79"/>
      <c r="J695" s="79"/>
      <c r="M695" s="104"/>
      <c r="P695" s="79"/>
      <c r="S695" s="79"/>
      <c r="V695" s="79"/>
    </row>
    <row r="696" spans="7:22" x14ac:dyDescent="0.2">
      <c r="G696" s="79"/>
      <c r="J696" s="79"/>
      <c r="M696" s="104"/>
      <c r="P696" s="79"/>
      <c r="S696" s="79"/>
      <c r="V696" s="79"/>
    </row>
    <row r="697" spans="7:22" x14ac:dyDescent="0.2">
      <c r="G697" s="79"/>
      <c r="J697" s="79"/>
      <c r="M697" s="104"/>
      <c r="P697" s="79"/>
      <c r="S697" s="79"/>
      <c r="V697" s="79"/>
    </row>
    <row r="698" spans="7:22" x14ac:dyDescent="0.2">
      <c r="G698" s="79"/>
      <c r="J698" s="79"/>
      <c r="M698" s="104"/>
      <c r="P698" s="79"/>
      <c r="S698" s="79"/>
      <c r="V698" s="79"/>
    </row>
    <row r="699" spans="7:22" x14ac:dyDescent="0.2">
      <c r="G699" s="79"/>
      <c r="J699" s="79"/>
      <c r="M699" s="104"/>
      <c r="P699" s="79"/>
      <c r="S699" s="79"/>
      <c r="V699" s="79"/>
    </row>
    <row r="700" spans="7:22" x14ac:dyDescent="0.2">
      <c r="G700" s="79"/>
      <c r="J700" s="79"/>
      <c r="M700" s="104"/>
      <c r="P700" s="79"/>
      <c r="S700" s="79"/>
      <c r="V700" s="79"/>
    </row>
    <row r="701" spans="7:22" x14ac:dyDescent="0.2">
      <c r="G701" s="79"/>
      <c r="J701" s="79"/>
      <c r="M701" s="104"/>
      <c r="P701" s="79"/>
      <c r="S701" s="79"/>
      <c r="V701" s="79"/>
    </row>
    <row r="702" spans="7:22" x14ac:dyDescent="0.2">
      <c r="G702" s="79"/>
      <c r="J702" s="79"/>
      <c r="M702" s="104"/>
      <c r="P702" s="79"/>
      <c r="S702" s="79"/>
      <c r="V702" s="79"/>
    </row>
    <row r="703" spans="7:22" x14ac:dyDescent="0.2">
      <c r="G703" s="79"/>
      <c r="J703" s="79"/>
      <c r="M703" s="104"/>
      <c r="P703" s="79"/>
      <c r="S703" s="79"/>
      <c r="V703" s="79"/>
    </row>
    <row r="704" spans="7:22" x14ac:dyDescent="0.2">
      <c r="G704" s="79"/>
      <c r="J704" s="79"/>
      <c r="M704" s="104"/>
      <c r="P704" s="79"/>
      <c r="S704" s="79"/>
      <c r="V704" s="79"/>
    </row>
    <row r="705" spans="7:22" x14ac:dyDescent="0.2">
      <c r="G705" s="79"/>
      <c r="J705" s="79"/>
      <c r="M705" s="104"/>
      <c r="P705" s="79"/>
      <c r="S705" s="79"/>
      <c r="V705" s="79"/>
    </row>
    <row r="706" spans="7:22" x14ac:dyDescent="0.2">
      <c r="G706" s="79"/>
      <c r="J706" s="79"/>
      <c r="M706" s="104"/>
      <c r="P706" s="79"/>
      <c r="S706" s="79"/>
      <c r="V706" s="79"/>
    </row>
    <row r="707" spans="7:22" x14ac:dyDescent="0.2">
      <c r="G707" s="79"/>
      <c r="J707" s="79"/>
      <c r="M707" s="104"/>
      <c r="P707" s="79"/>
      <c r="S707" s="79"/>
      <c r="V707" s="79"/>
    </row>
    <row r="708" spans="7:22" x14ac:dyDescent="0.2">
      <c r="G708" s="79"/>
      <c r="J708" s="79"/>
      <c r="M708" s="104"/>
      <c r="P708" s="79"/>
      <c r="S708" s="79"/>
      <c r="V708" s="79"/>
    </row>
    <row r="709" spans="7:22" x14ac:dyDescent="0.2">
      <c r="G709" s="79"/>
      <c r="J709" s="79"/>
      <c r="M709" s="104"/>
      <c r="P709" s="79"/>
      <c r="S709" s="79"/>
      <c r="V709" s="79"/>
    </row>
    <row r="710" spans="7:22" x14ac:dyDescent="0.2">
      <c r="G710" s="79"/>
      <c r="J710" s="79"/>
      <c r="M710" s="104"/>
      <c r="P710" s="79"/>
      <c r="S710" s="79"/>
      <c r="V710" s="79"/>
    </row>
    <row r="711" spans="7:22" x14ac:dyDescent="0.2">
      <c r="G711" s="79"/>
      <c r="J711" s="79"/>
      <c r="M711" s="104"/>
      <c r="P711" s="79"/>
      <c r="S711" s="79"/>
      <c r="V711" s="79"/>
    </row>
    <row r="712" spans="7:22" x14ac:dyDescent="0.2">
      <c r="G712" s="79"/>
      <c r="J712" s="79"/>
      <c r="M712" s="104"/>
      <c r="P712" s="79"/>
      <c r="S712" s="79"/>
      <c r="V712" s="79"/>
    </row>
    <row r="713" spans="7:22" x14ac:dyDescent="0.2">
      <c r="G713" s="79"/>
      <c r="J713" s="79"/>
      <c r="M713" s="104"/>
      <c r="P713" s="79"/>
      <c r="S713" s="79"/>
      <c r="V713" s="79"/>
    </row>
    <row r="714" spans="7:22" x14ac:dyDescent="0.2">
      <c r="G714" s="79"/>
      <c r="J714" s="79"/>
      <c r="M714" s="104"/>
      <c r="P714" s="79"/>
      <c r="S714" s="79"/>
      <c r="V714" s="79"/>
    </row>
    <row r="715" spans="7:22" x14ac:dyDescent="0.2">
      <c r="G715" s="79"/>
      <c r="J715" s="79"/>
      <c r="M715" s="104"/>
      <c r="P715" s="79"/>
      <c r="S715" s="79"/>
      <c r="V715" s="79"/>
    </row>
    <row r="716" spans="7:22" x14ac:dyDescent="0.2">
      <c r="G716" s="79"/>
      <c r="J716" s="79"/>
      <c r="M716" s="104"/>
      <c r="P716" s="79"/>
      <c r="S716" s="79"/>
      <c r="V716" s="79"/>
    </row>
    <row r="717" spans="7:22" x14ac:dyDescent="0.2">
      <c r="G717" s="79"/>
      <c r="J717" s="79"/>
      <c r="M717" s="104"/>
      <c r="P717" s="79"/>
      <c r="S717" s="79"/>
      <c r="V717" s="79"/>
    </row>
    <row r="718" spans="7:22" x14ac:dyDescent="0.2">
      <c r="G718" s="79"/>
      <c r="J718" s="79"/>
      <c r="M718" s="104"/>
      <c r="P718" s="79"/>
      <c r="S718" s="79"/>
      <c r="V718" s="79"/>
    </row>
    <row r="719" spans="7:22" x14ac:dyDescent="0.2">
      <c r="G719" s="79"/>
      <c r="J719" s="79"/>
      <c r="M719" s="104"/>
      <c r="P719" s="79"/>
      <c r="S719" s="79"/>
      <c r="V719" s="79"/>
    </row>
    <row r="720" spans="7:22" x14ac:dyDescent="0.2">
      <c r="G720" s="79"/>
      <c r="J720" s="79"/>
      <c r="M720" s="104"/>
      <c r="P720" s="79"/>
      <c r="S720" s="79"/>
      <c r="V720" s="79"/>
    </row>
    <row r="721" spans="7:22" x14ac:dyDescent="0.2">
      <c r="G721" s="79"/>
      <c r="J721" s="79"/>
      <c r="M721" s="104"/>
      <c r="P721" s="79"/>
      <c r="S721" s="79"/>
      <c r="V721" s="79"/>
    </row>
    <row r="722" spans="7:22" x14ac:dyDescent="0.2">
      <c r="G722" s="79"/>
      <c r="J722" s="79"/>
      <c r="M722" s="104"/>
      <c r="P722" s="79"/>
      <c r="S722" s="79"/>
      <c r="V722" s="79"/>
    </row>
    <row r="723" spans="7:22" x14ac:dyDescent="0.2">
      <c r="G723" s="79"/>
      <c r="J723" s="79"/>
      <c r="M723" s="104"/>
      <c r="P723" s="79"/>
      <c r="S723" s="79"/>
      <c r="V723" s="79"/>
    </row>
    <row r="724" spans="7:22" x14ac:dyDescent="0.2">
      <c r="G724" s="79"/>
      <c r="J724" s="79"/>
      <c r="M724" s="104"/>
      <c r="P724" s="79"/>
      <c r="S724" s="79"/>
      <c r="V724" s="79"/>
    </row>
    <row r="725" spans="7:22" x14ac:dyDescent="0.2">
      <c r="G725" s="79"/>
      <c r="J725" s="79"/>
      <c r="M725" s="104"/>
      <c r="P725" s="79"/>
      <c r="S725" s="79"/>
      <c r="V725" s="79"/>
    </row>
    <row r="726" spans="7:22" x14ac:dyDescent="0.2">
      <c r="G726" s="79"/>
      <c r="J726" s="79"/>
      <c r="M726" s="104"/>
      <c r="P726" s="79"/>
      <c r="S726" s="79"/>
      <c r="V726" s="79"/>
    </row>
    <row r="727" spans="7:22" x14ac:dyDescent="0.2">
      <c r="G727" s="79"/>
      <c r="J727" s="79"/>
      <c r="M727" s="104"/>
      <c r="P727" s="79"/>
      <c r="S727" s="79"/>
      <c r="V727" s="79"/>
    </row>
    <row r="728" spans="7:22" x14ac:dyDescent="0.2">
      <c r="G728" s="79"/>
      <c r="J728" s="79"/>
      <c r="M728" s="104"/>
      <c r="P728" s="79"/>
      <c r="S728" s="79"/>
      <c r="V728" s="79"/>
    </row>
    <row r="729" spans="7:22" x14ac:dyDescent="0.2">
      <c r="G729" s="79"/>
      <c r="J729" s="79"/>
      <c r="M729" s="104"/>
      <c r="P729" s="79"/>
      <c r="S729" s="79"/>
      <c r="V729" s="79"/>
    </row>
    <row r="730" spans="7:22" x14ac:dyDescent="0.2">
      <c r="G730" s="79"/>
      <c r="J730" s="79"/>
      <c r="M730" s="104"/>
      <c r="P730" s="79"/>
      <c r="S730" s="79"/>
      <c r="V730" s="79"/>
    </row>
    <row r="731" spans="7:22" x14ac:dyDescent="0.2">
      <c r="G731" s="79"/>
      <c r="J731" s="79"/>
      <c r="M731" s="104"/>
      <c r="P731" s="79"/>
      <c r="S731" s="79"/>
      <c r="V731" s="79"/>
    </row>
    <row r="732" spans="7:22" x14ac:dyDescent="0.2">
      <c r="G732" s="79"/>
      <c r="J732" s="79"/>
      <c r="M732" s="104"/>
      <c r="P732" s="79"/>
      <c r="S732" s="79"/>
      <c r="V732" s="79"/>
    </row>
    <row r="733" spans="7:22" x14ac:dyDescent="0.2">
      <c r="G733" s="79"/>
      <c r="J733" s="79"/>
      <c r="M733" s="104"/>
      <c r="P733" s="79"/>
      <c r="S733" s="79"/>
      <c r="V733" s="79"/>
    </row>
    <row r="734" spans="7:22" x14ac:dyDescent="0.2">
      <c r="G734" s="79"/>
      <c r="J734" s="79"/>
      <c r="M734" s="104"/>
      <c r="P734" s="79"/>
      <c r="S734" s="79"/>
      <c r="V734" s="79"/>
    </row>
    <row r="735" spans="7:22" x14ac:dyDescent="0.2">
      <c r="G735" s="79"/>
      <c r="J735" s="79"/>
      <c r="M735" s="104"/>
      <c r="P735" s="79"/>
      <c r="S735" s="79"/>
      <c r="V735" s="79"/>
    </row>
    <row r="736" spans="7:22" x14ac:dyDescent="0.2">
      <c r="G736" s="79"/>
      <c r="J736" s="79"/>
      <c r="M736" s="104"/>
      <c r="P736" s="79"/>
      <c r="S736" s="79"/>
      <c r="V736" s="79"/>
    </row>
    <row r="737" spans="7:22" x14ac:dyDescent="0.2">
      <c r="G737" s="79"/>
      <c r="J737" s="79"/>
      <c r="M737" s="104"/>
      <c r="P737" s="79"/>
      <c r="S737" s="79"/>
      <c r="V737" s="79"/>
    </row>
    <row r="738" spans="7:22" x14ac:dyDescent="0.2">
      <c r="G738" s="79"/>
      <c r="J738" s="79"/>
      <c r="M738" s="104"/>
      <c r="P738" s="79"/>
      <c r="S738" s="79"/>
      <c r="V738" s="79"/>
    </row>
    <row r="739" spans="7:22" x14ac:dyDescent="0.2">
      <c r="G739" s="79"/>
      <c r="J739" s="79"/>
      <c r="M739" s="104"/>
      <c r="P739" s="79"/>
      <c r="S739" s="79"/>
      <c r="V739" s="79"/>
    </row>
    <row r="740" spans="7:22" x14ac:dyDescent="0.2">
      <c r="G740" s="79"/>
      <c r="J740" s="79"/>
      <c r="M740" s="104"/>
      <c r="P740" s="79"/>
      <c r="S740" s="79"/>
      <c r="V740" s="79"/>
    </row>
    <row r="741" spans="7:22" x14ac:dyDescent="0.2">
      <c r="G741" s="79"/>
      <c r="J741" s="79"/>
      <c r="M741" s="104"/>
      <c r="P741" s="79"/>
      <c r="S741" s="79"/>
      <c r="V741" s="79"/>
    </row>
    <row r="742" spans="7:22" x14ac:dyDescent="0.2">
      <c r="G742" s="79"/>
      <c r="J742" s="79"/>
      <c r="M742" s="104"/>
      <c r="P742" s="79"/>
      <c r="S742" s="79"/>
      <c r="V742" s="79"/>
    </row>
    <row r="743" spans="7:22" x14ac:dyDescent="0.2">
      <c r="G743" s="79"/>
      <c r="J743" s="79"/>
      <c r="M743" s="104"/>
      <c r="P743" s="79"/>
      <c r="S743" s="79"/>
      <c r="V743" s="79"/>
    </row>
    <row r="744" spans="7:22" x14ac:dyDescent="0.2">
      <c r="G744" s="79"/>
      <c r="J744" s="79"/>
      <c r="M744" s="104"/>
      <c r="P744" s="79"/>
      <c r="S744" s="79"/>
      <c r="V744" s="79"/>
    </row>
    <row r="745" spans="7:22" x14ac:dyDescent="0.2">
      <c r="G745" s="79"/>
      <c r="J745" s="79"/>
      <c r="M745" s="104"/>
      <c r="P745" s="79"/>
      <c r="S745" s="79"/>
      <c r="V745" s="79"/>
    </row>
    <row r="746" spans="7:22" x14ac:dyDescent="0.2">
      <c r="G746" s="79"/>
      <c r="J746" s="79"/>
      <c r="M746" s="104"/>
      <c r="P746" s="79"/>
      <c r="S746" s="79"/>
      <c r="V746" s="79"/>
    </row>
    <row r="747" spans="7:22" x14ac:dyDescent="0.2">
      <c r="G747" s="79"/>
      <c r="J747" s="79"/>
      <c r="M747" s="104"/>
      <c r="P747" s="79"/>
      <c r="S747" s="79"/>
      <c r="V747" s="79"/>
    </row>
    <row r="748" spans="7:22" x14ac:dyDescent="0.2">
      <c r="G748" s="79"/>
      <c r="J748" s="79"/>
      <c r="M748" s="104"/>
      <c r="P748" s="79"/>
      <c r="S748" s="79"/>
      <c r="V748" s="79"/>
    </row>
    <row r="749" spans="7:22" x14ac:dyDescent="0.2">
      <c r="G749" s="79"/>
      <c r="J749" s="79"/>
      <c r="M749" s="104"/>
      <c r="P749" s="79"/>
      <c r="S749" s="79"/>
      <c r="V749" s="79"/>
    </row>
    <row r="750" spans="7:22" x14ac:dyDescent="0.2">
      <c r="G750" s="79"/>
      <c r="J750" s="79"/>
      <c r="M750" s="104"/>
      <c r="P750" s="79"/>
      <c r="S750" s="79"/>
      <c r="V750" s="79"/>
    </row>
    <row r="751" spans="7:22" x14ac:dyDescent="0.2">
      <c r="G751" s="79"/>
      <c r="J751" s="79"/>
      <c r="M751" s="104"/>
      <c r="P751" s="79"/>
      <c r="S751" s="79"/>
      <c r="V751" s="79"/>
    </row>
    <row r="752" spans="7:22" x14ac:dyDescent="0.2">
      <c r="G752" s="79"/>
      <c r="J752" s="79"/>
      <c r="M752" s="104"/>
      <c r="P752" s="79"/>
      <c r="S752" s="79"/>
      <c r="V752" s="79"/>
    </row>
    <row r="753" spans="7:22" x14ac:dyDescent="0.2">
      <c r="G753" s="79"/>
      <c r="J753" s="79"/>
      <c r="M753" s="104"/>
      <c r="P753" s="79"/>
      <c r="S753" s="79"/>
      <c r="V753" s="79"/>
    </row>
    <row r="754" spans="7:22" x14ac:dyDescent="0.2">
      <c r="G754" s="79"/>
      <c r="J754" s="79"/>
      <c r="M754" s="104"/>
      <c r="P754" s="79"/>
      <c r="S754" s="79"/>
      <c r="V754" s="79"/>
    </row>
    <row r="755" spans="7:22" x14ac:dyDescent="0.2">
      <c r="G755" s="79"/>
      <c r="J755" s="79"/>
      <c r="M755" s="104"/>
      <c r="P755" s="79"/>
      <c r="S755" s="79"/>
      <c r="V755" s="79"/>
    </row>
    <row r="756" spans="7:22" x14ac:dyDescent="0.2">
      <c r="G756" s="79"/>
      <c r="J756" s="79"/>
      <c r="M756" s="104"/>
      <c r="P756" s="79"/>
      <c r="S756" s="79"/>
      <c r="V756" s="79"/>
    </row>
    <row r="757" spans="7:22" x14ac:dyDescent="0.2">
      <c r="G757" s="79"/>
      <c r="J757" s="79"/>
      <c r="M757" s="104"/>
      <c r="P757" s="79"/>
      <c r="S757" s="79"/>
      <c r="V757" s="79"/>
    </row>
    <row r="758" spans="7:22" x14ac:dyDescent="0.2">
      <c r="G758" s="79"/>
      <c r="J758" s="79"/>
      <c r="M758" s="104"/>
      <c r="P758" s="79"/>
      <c r="S758" s="79"/>
      <c r="V758" s="79"/>
    </row>
    <row r="759" spans="7:22" x14ac:dyDescent="0.2">
      <c r="G759" s="79"/>
      <c r="J759" s="79"/>
      <c r="M759" s="104"/>
      <c r="P759" s="79"/>
      <c r="S759" s="79"/>
      <c r="V759" s="79"/>
    </row>
    <row r="760" spans="7:22" x14ac:dyDescent="0.2">
      <c r="G760" s="79"/>
      <c r="J760" s="79"/>
      <c r="M760" s="104"/>
      <c r="P760" s="79"/>
      <c r="S760" s="79"/>
      <c r="V760" s="79"/>
    </row>
    <row r="761" spans="7:22" x14ac:dyDescent="0.2">
      <c r="G761" s="79"/>
      <c r="J761" s="79"/>
      <c r="M761" s="104"/>
      <c r="P761" s="79"/>
      <c r="S761" s="79"/>
      <c r="V761" s="79"/>
    </row>
    <row r="762" spans="7:22" x14ac:dyDescent="0.2">
      <c r="G762" s="79"/>
      <c r="J762" s="79"/>
      <c r="M762" s="104"/>
      <c r="P762" s="79"/>
      <c r="S762" s="79"/>
      <c r="V762" s="79"/>
    </row>
    <row r="763" spans="7:22" x14ac:dyDescent="0.2">
      <c r="G763" s="79"/>
      <c r="J763" s="79"/>
      <c r="M763" s="104"/>
      <c r="P763" s="79"/>
      <c r="S763" s="79"/>
      <c r="V763" s="79"/>
    </row>
    <row r="764" spans="7:22" x14ac:dyDescent="0.2">
      <c r="G764" s="79"/>
      <c r="J764" s="79"/>
      <c r="M764" s="104"/>
      <c r="P764" s="79"/>
      <c r="S764" s="79"/>
      <c r="V764" s="79"/>
    </row>
    <row r="765" spans="7:22" x14ac:dyDescent="0.2">
      <c r="G765" s="79"/>
      <c r="J765" s="79"/>
      <c r="M765" s="104"/>
      <c r="P765" s="79"/>
      <c r="S765" s="79"/>
      <c r="V765" s="79"/>
    </row>
    <row r="766" spans="7:22" x14ac:dyDescent="0.2">
      <c r="G766" s="79"/>
      <c r="J766" s="79"/>
      <c r="M766" s="104"/>
      <c r="P766" s="79"/>
      <c r="S766" s="79"/>
      <c r="V766" s="79"/>
    </row>
    <row r="767" spans="7:22" x14ac:dyDescent="0.2">
      <c r="G767" s="79"/>
      <c r="J767" s="79"/>
      <c r="M767" s="104"/>
      <c r="P767" s="79"/>
      <c r="S767" s="79"/>
      <c r="V767" s="79"/>
    </row>
    <row r="768" spans="7:22" x14ac:dyDescent="0.2">
      <c r="G768" s="79"/>
      <c r="J768" s="79"/>
      <c r="M768" s="104"/>
      <c r="P768" s="79"/>
      <c r="S768" s="79"/>
      <c r="V768" s="79"/>
    </row>
    <row r="769" spans="7:22" x14ac:dyDescent="0.2">
      <c r="G769" s="79"/>
      <c r="J769" s="79"/>
      <c r="M769" s="104"/>
      <c r="P769" s="79"/>
      <c r="S769" s="79"/>
      <c r="V769" s="79"/>
    </row>
    <row r="770" spans="7:22" x14ac:dyDescent="0.2">
      <c r="G770" s="79"/>
      <c r="J770" s="79"/>
      <c r="M770" s="104"/>
      <c r="P770" s="79"/>
      <c r="S770" s="79"/>
      <c r="V770" s="79"/>
    </row>
    <row r="771" spans="7:22" x14ac:dyDescent="0.2">
      <c r="G771" s="79"/>
      <c r="J771" s="79"/>
      <c r="M771" s="104"/>
      <c r="P771" s="79"/>
      <c r="S771" s="79"/>
      <c r="V771" s="79"/>
    </row>
    <row r="772" spans="7:22" x14ac:dyDescent="0.2">
      <c r="G772" s="79"/>
      <c r="J772" s="79"/>
      <c r="M772" s="104"/>
      <c r="P772" s="79"/>
      <c r="S772" s="79"/>
      <c r="V772" s="79"/>
    </row>
    <row r="773" spans="7:22" x14ac:dyDescent="0.2">
      <c r="G773" s="79"/>
      <c r="J773" s="79"/>
      <c r="M773" s="104"/>
      <c r="P773" s="79"/>
      <c r="S773" s="79"/>
      <c r="V773" s="79"/>
    </row>
    <row r="774" spans="7:22" x14ac:dyDescent="0.2">
      <c r="G774" s="79"/>
      <c r="J774" s="79"/>
      <c r="M774" s="104"/>
      <c r="P774" s="79"/>
      <c r="S774" s="79"/>
      <c r="V774" s="79"/>
    </row>
    <row r="775" spans="7:22" x14ac:dyDescent="0.2">
      <c r="G775" s="79"/>
      <c r="J775" s="79"/>
      <c r="M775" s="104"/>
      <c r="P775" s="79"/>
      <c r="S775" s="79"/>
      <c r="V775" s="79"/>
    </row>
    <row r="776" spans="7:22" x14ac:dyDescent="0.2">
      <c r="G776" s="79"/>
      <c r="J776" s="79"/>
      <c r="M776" s="104"/>
      <c r="P776" s="79"/>
      <c r="S776" s="79"/>
      <c r="V776" s="79"/>
    </row>
    <row r="777" spans="7:22" x14ac:dyDescent="0.2">
      <c r="G777" s="79"/>
      <c r="J777" s="79"/>
      <c r="M777" s="104"/>
      <c r="P777" s="79"/>
      <c r="S777" s="79"/>
      <c r="V777" s="79"/>
    </row>
    <row r="778" spans="7:22" x14ac:dyDescent="0.2">
      <c r="G778" s="79"/>
      <c r="J778" s="79"/>
      <c r="M778" s="104"/>
      <c r="P778" s="79"/>
      <c r="S778" s="79"/>
      <c r="V778" s="79"/>
    </row>
    <row r="779" spans="7:22" x14ac:dyDescent="0.2">
      <c r="G779" s="79"/>
      <c r="J779" s="79"/>
      <c r="M779" s="104"/>
      <c r="P779" s="79"/>
      <c r="S779" s="79"/>
      <c r="V779" s="79"/>
    </row>
    <row r="780" spans="7:22" x14ac:dyDescent="0.2">
      <c r="G780" s="79"/>
      <c r="J780" s="79"/>
      <c r="M780" s="104"/>
      <c r="P780" s="79"/>
      <c r="S780" s="79"/>
      <c r="V780" s="79"/>
    </row>
    <row r="781" spans="7:22" x14ac:dyDescent="0.2">
      <c r="G781" s="79"/>
      <c r="J781" s="79"/>
      <c r="M781" s="104"/>
      <c r="P781" s="79"/>
      <c r="S781" s="79"/>
      <c r="V781" s="79"/>
    </row>
    <row r="782" spans="7:22" x14ac:dyDescent="0.2">
      <c r="G782" s="79"/>
      <c r="J782" s="79"/>
      <c r="M782" s="104"/>
      <c r="P782" s="79"/>
      <c r="S782" s="79"/>
      <c r="V782" s="79"/>
    </row>
    <row r="783" spans="7:22" x14ac:dyDescent="0.2">
      <c r="G783" s="79"/>
      <c r="J783" s="79"/>
      <c r="M783" s="104"/>
      <c r="P783" s="79"/>
      <c r="S783" s="79"/>
      <c r="V783" s="79"/>
    </row>
    <row r="784" spans="7:22" x14ac:dyDescent="0.2">
      <c r="G784" s="79"/>
      <c r="J784" s="79"/>
      <c r="M784" s="104"/>
      <c r="P784" s="79"/>
      <c r="S784" s="79"/>
      <c r="V784" s="79"/>
    </row>
    <row r="785" spans="7:22" x14ac:dyDescent="0.2">
      <c r="G785" s="79"/>
      <c r="J785" s="79"/>
      <c r="M785" s="104"/>
      <c r="P785" s="79"/>
      <c r="S785" s="79"/>
      <c r="V785" s="79"/>
    </row>
    <row r="786" spans="7:22" x14ac:dyDescent="0.2">
      <c r="G786" s="79"/>
      <c r="J786" s="79"/>
      <c r="M786" s="104"/>
      <c r="P786" s="79"/>
      <c r="S786" s="79"/>
      <c r="V786" s="79"/>
    </row>
    <row r="787" spans="7:22" x14ac:dyDescent="0.2">
      <c r="G787" s="79"/>
      <c r="J787" s="79"/>
      <c r="M787" s="104"/>
      <c r="P787" s="79"/>
      <c r="S787" s="79"/>
      <c r="V787" s="79"/>
    </row>
    <row r="788" spans="7:22" x14ac:dyDescent="0.2">
      <c r="G788" s="79"/>
      <c r="J788" s="79"/>
      <c r="M788" s="104"/>
      <c r="P788" s="79"/>
      <c r="S788" s="79"/>
      <c r="V788" s="79"/>
    </row>
    <row r="789" spans="7:22" x14ac:dyDescent="0.2">
      <c r="G789" s="79"/>
      <c r="J789" s="79"/>
      <c r="M789" s="104"/>
      <c r="P789" s="79"/>
      <c r="S789" s="79"/>
      <c r="V789" s="79"/>
    </row>
    <row r="790" spans="7:22" x14ac:dyDescent="0.2">
      <c r="G790" s="79"/>
      <c r="J790" s="79"/>
      <c r="M790" s="104"/>
      <c r="P790" s="79"/>
      <c r="S790" s="79"/>
      <c r="V790" s="79"/>
    </row>
    <row r="791" spans="7:22" x14ac:dyDescent="0.2">
      <c r="G791" s="79"/>
      <c r="J791" s="79"/>
      <c r="M791" s="104"/>
      <c r="P791" s="79"/>
      <c r="S791" s="79"/>
      <c r="V791" s="79"/>
    </row>
    <row r="792" spans="7:22" x14ac:dyDescent="0.2">
      <c r="G792" s="79"/>
      <c r="J792" s="79"/>
      <c r="M792" s="104"/>
      <c r="P792" s="79"/>
      <c r="S792" s="79"/>
      <c r="V792" s="79"/>
    </row>
    <row r="793" spans="7:22" x14ac:dyDescent="0.2">
      <c r="G793" s="79"/>
      <c r="J793" s="79"/>
      <c r="M793" s="104"/>
      <c r="P793" s="79"/>
      <c r="S793" s="79"/>
      <c r="V793" s="79"/>
    </row>
    <row r="794" spans="7:22" x14ac:dyDescent="0.2">
      <c r="G794" s="79"/>
      <c r="J794" s="79"/>
      <c r="M794" s="104"/>
      <c r="P794" s="79"/>
      <c r="S794" s="79"/>
      <c r="V794" s="79"/>
    </row>
    <row r="795" spans="7:22" x14ac:dyDescent="0.2">
      <c r="G795" s="79"/>
      <c r="J795" s="79"/>
      <c r="M795" s="104"/>
      <c r="P795" s="79"/>
      <c r="S795" s="79"/>
      <c r="V795" s="79"/>
    </row>
    <row r="796" spans="7:22" x14ac:dyDescent="0.2">
      <c r="G796" s="79"/>
      <c r="J796" s="79"/>
      <c r="M796" s="104"/>
      <c r="P796" s="79"/>
      <c r="S796" s="79"/>
      <c r="V796" s="79"/>
    </row>
    <row r="797" spans="7:22" x14ac:dyDescent="0.2">
      <c r="G797" s="79"/>
      <c r="J797" s="79"/>
      <c r="M797" s="104"/>
      <c r="P797" s="79"/>
      <c r="S797" s="79"/>
      <c r="V797" s="79"/>
    </row>
    <row r="798" spans="7:22" x14ac:dyDescent="0.2">
      <c r="G798" s="79"/>
      <c r="J798" s="79"/>
      <c r="M798" s="104"/>
      <c r="P798" s="79"/>
      <c r="S798" s="79"/>
      <c r="V798" s="79"/>
    </row>
    <row r="799" spans="7:22" x14ac:dyDescent="0.2">
      <c r="G799" s="79"/>
      <c r="J799" s="79"/>
      <c r="M799" s="104"/>
      <c r="P799" s="79"/>
      <c r="S799" s="79"/>
      <c r="V799" s="79"/>
    </row>
    <row r="800" spans="7:22" x14ac:dyDescent="0.2">
      <c r="G800" s="79"/>
      <c r="J800" s="79"/>
      <c r="M800" s="104"/>
      <c r="P800" s="79"/>
      <c r="S800" s="79"/>
      <c r="V800" s="79"/>
    </row>
    <row r="801" spans="7:22" x14ac:dyDescent="0.2">
      <c r="G801" s="79"/>
      <c r="J801" s="79"/>
      <c r="M801" s="104"/>
      <c r="P801" s="79"/>
      <c r="S801" s="79"/>
      <c r="V801" s="79"/>
    </row>
    <row r="802" spans="7:22" x14ac:dyDescent="0.2">
      <c r="G802" s="79"/>
      <c r="J802" s="79"/>
      <c r="M802" s="104"/>
      <c r="P802" s="79"/>
      <c r="S802" s="79"/>
      <c r="V802" s="79"/>
    </row>
    <row r="803" spans="7:22" x14ac:dyDescent="0.2">
      <c r="G803" s="79"/>
      <c r="J803" s="79"/>
      <c r="M803" s="104"/>
      <c r="P803" s="79"/>
      <c r="S803" s="79"/>
      <c r="V803" s="79"/>
    </row>
    <row r="804" spans="7:22" x14ac:dyDescent="0.2">
      <c r="G804" s="79"/>
      <c r="J804" s="79"/>
      <c r="M804" s="104"/>
      <c r="P804" s="79"/>
      <c r="S804" s="79"/>
      <c r="V804" s="79"/>
    </row>
    <row r="805" spans="7:22" x14ac:dyDescent="0.2">
      <c r="G805" s="79"/>
      <c r="J805" s="79"/>
      <c r="M805" s="104"/>
      <c r="P805" s="79"/>
      <c r="S805" s="79"/>
      <c r="V805" s="79"/>
    </row>
    <row r="806" spans="7:22" x14ac:dyDescent="0.2">
      <c r="G806" s="79"/>
      <c r="J806" s="79"/>
      <c r="M806" s="104"/>
      <c r="P806" s="79"/>
      <c r="S806" s="79"/>
      <c r="V806" s="79"/>
    </row>
    <row r="807" spans="7:22" x14ac:dyDescent="0.2">
      <c r="G807" s="79"/>
      <c r="J807" s="79"/>
      <c r="M807" s="104"/>
      <c r="P807" s="79"/>
      <c r="S807" s="79"/>
      <c r="V807" s="79"/>
    </row>
    <row r="808" spans="7:22" x14ac:dyDescent="0.2">
      <c r="G808" s="79"/>
      <c r="J808" s="79"/>
      <c r="M808" s="104"/>
      <c r="P808" s="79"/>
      <c r="S808" s="79"/>
      <c r="V808" s="79"/>
    </row>
    <row r="809" spans="7:22" x14ac:dyDescent="0.2">
      <c r="G809" s="79"/>
      <c r="J809" s="79"/>
      <c r="M809" s="104"/>
      <c r="P809" s="79"/>
      <c r="S809" s="79"/>
      <c r="V809" s="79"/>
    </row>
    <row r="810" spans="7:22" x14ac:dyDescent="0.2">
      <c r="G810" s="79"/>
      <c r="J810" s="79"/>
      <c r="M810" s="104"/>
      <c r="P810" s="79"/>
      <c r="S810" s="79"/>
      <c r="V810" s="79"/>
    </row>
    <row r="811" spans="7:22" x14ac:dyDescent="0.2">
      <c r="G811" s="79"/>
      <c r="J811" s="79"/>
      <c r="M811" s="104"/>
      <c r="P811" s="79"/>
      <c r="S811" s="79"/>
      <c r="V811" s="79"/>
    </row>
    <row r="812" spans="7:22" x14ac:dyDescent="0.2">
      <c r="G812" s="79"/>
      <c r="J812" s="79"/>
      <c r="M812" s="104"/>
      <c r="P812" s="79"/>
      <c r="S812" s="79"/>
      <c r="V812" s="79"/>
    </row>
    <row r="813" spans="7:22" x14ac:dyDescent="0.2">
      <c r="G813" s="79"/>
      <c r="J813" s="79"/>
      <c r="M813" s="104"/>
      <c r="P813" s="79"/>
      <c r="S813" s="79"/>
      <c r="V813" s="79"/>
    </row>
    <row r="814" spans="7:22" x14ac:dyDescent="0.2">
      <c r="G814" s="79"/>
      <c r="J814" s="79"/>
      <c r="M814" s="104"/>
      <c r="P814" s="79"/>
      <c r="S814" s="79"/>
      <c r="V814" s="79"/>
    </row>
    <row r="815" spans="7:22" x14ac:dyDescent="0.2">
      <c r="G815" s="79"/>
      <c r="J815" s="79"/>
      <c r="M815" s="104"/>
      <c r="P815" s="79"/>
      <c r="S815" s="79"/>
      <c r="V815" s="79"/>
    </row>
    <row r="816" spans="7:22" x14ac:dyDescent="0.2">
      <c r="G816" s="79"/>
      <c r="J816" s="79"/>
      <c r="M816" s="104"/>
      <c r="P816" s="79"/>
      <c r="S816" s="79"/>
      <c r="V816" s="79"/>
    </row>
    <row r="817" spans="7:22" x14ac:dyDescent="0.2">
      <c r="G817" s="79"/>
      <c r="J817" s="79"/>
      <c r="M817" s="104"/>
      <c r="P817" s="79"/>
      <c r="S817" s="79"/>
      <c r="V817" s="79"/>
    </row>
    <row r="818" spans="7:22" x14ac:dyDescent="0.2">
      <c r="G818" s="79"/>
      <c r="J818" s="79"/>
      <c r="M818" s="104"/>
      <c r="P818" s="79"/>
      <c r="S818" s="79"/>
      <c r="V818" s="79"/>
    </row>
    <row r="819" spans="7:22" x14ac:dyDescent="0.2">
      <c r="G819" s="79"/>
      <c r="J819" s="79"/>
      <c r="M819" s="104"/>
      <c r="P819" s="79"/>
      <c r="S819" s="79"/>
      <c r="V819" s="79"/>
    </row>
    <row r="820" spans="7:22" x14ac:dyDescent="0.2">
      <c r="G820" s="79"/>
      <c r="J820" s="79"/>
      <c r="M820" s="104"/>
      <c r="P820" s="79"/>
      <c r="S820" s="79"/>
      <c r="V820" s="79"/>
    </row>
    <row r="821" spans="7:22" x14ac:dyDescent="0.2">
      <c r="G821" s="79"/>
      <c r="J821" s="79"/>
      <c r="M821" s="104"/>
      <c r="P821" s="79"/>
      <c r="S821" s="79"/>
      <c r="V821" s="79"/>
    </row>
    <row r="822" spans="7:22" x14ac:dyDescent="0.2">
      <c r="G822" s="79"/>
      <c r="J822" s="79"/>
      <c r="M822" s="104"/>
      <c r="P822" s="79"/>
      <c r="S822" s="79"/>
      <c r="V822" s="79"/>
    </row>
    <row r="823" spans="7:22" x14ac:dyDescent="0.2">
      <c r="G823" s="79"/>
      <c r="J823" s="79"/>
      <c r="M823" s="104"/>
      <c r="P823" s="79"/>
      <c r="S823" s="79"/>
      <c r="V823" s="79"/>
    </row>
    <row r="824" spans="7:22" x14ac:dyDescent="0.2">
      <c r="G824" s="79"/>
      <c r="J824" s="79"/>
      <c r="M824" s="104"/>
      <c r="P824" s="79"/>
      <c r="S824" s="79"/>
      <c r="V824" s="79"/>
    </row>
    <row r="825" spans="7:22" x14ac:dyDescent="0.2">
      <c r="G825" s="79"/>
      <c r="J825" s="79"/>
      <c r="M825" s="104"/>
      <c r="P825" s="79"/>
      <c r="S825" s="79"/>
      <c r="V825" s="79"/>
    </row>
    <row r="826" spans="7:22" x14ac:dyDescent="0.2">
      <c r="G826" s="79"/>
      <c r="J826" s="79"/>
      <c r="M826" s="104"/>
      <c r="P826" s="79"/>
      <c r="S826" s="79"/>
      <c r="V826" s="79"/>
    </row>
    <row r="827" spans="7:22" x14ac:dyDescent="0.2">
      <c r="G827" s="79"/>
      <c r="J827" s="79"/>
      <c r="M827" s="104"/>
      <c r="P827" s="79"/>
      <c r="S827" s="79"/>
      <c r="V827" s="79"/>
    </row>
    <row r="828" spans="7:22" x14ac:dyDescent="0.2">
      <c r="G828" s="79"/>
      <c r="J828" s="79"/>
      <c r="M828" s="104"/>
      <c r="P828" s="79"/>
      <c r="S828" s="79"/>
      <c r="V828" s="79"/>
    </row>
    <row r="829" spans="7:22" x14ac:dyDescent="0.2">
      <c r="G829" s="79"/>
      <c r="J829" s="79"/>
      <c r="M829" s="104"/>
      <c r="P829" s="79"/>
      <c r="S829" s="79"/>
      <c r="V829" s="79"/>
    </row>
    <row r="830" spans="7:22" x14ac:dyDescent="0.2">
      <c r="G830" s="79"/>
      <c r="J830" s="79"/>
      <c r="M830" s="104"/>
      <c r="P830" s="79"/>
      <c r="S830" s="79"/>
      <c r="V830" s="79"/>
    </row>
    <row r="831" spans="7:22" x14ac:dyDescent="0.2">
      <c r="G831" s="79"/>
      <c r="J831" s="79"/>
      <c r="M831" s="104"/>
      <c r="P831" s="79"/>
      <c r="S831" s="79"/>
      <c r="V831" s="79"/>
    </row>
    <row r="832" spans="7:22" x14ac:dyDescent="0.2">
      <c r="G832" s="79"/>
      <c r="J832" s="79"/>
      <c r="M832" s="104"/>
      <c r="P832" s="79"/>
      <c r="S832" s="79"/>
      <c r="V832" s="79"/>
    </row>
    <row r="833" spans="7:22" x14ac:dyDescent="0.2">
      <c r="G833" s="79"/>
      <c r="J833" s="79"/>
      <c r="M833" s="104"/>
      <c r="P833" s="79"/>
      <c r="S833" s="79"/>
      <c r="V833" s="79"/>
    </row>
    <row r="834" spans="7:22" x14ac:dyDescent="0.2">
      <c r="G834" s="79"/>
      <c r="J834" s="79"/>
      <c r="M834" s="104"/>
      <c r="P834" s="79"/>
      <c r="S834" s="79"/>
      <c r="V834" s="79"/>
    </row>
    <row r="835" spans="7:22" x14ac:dyDescent="0.2">
      <c r="G835" s="79"/>
      <c r="J835" s="79"/>
      <c r="M835" s="104"/>
      <c r="P835" s="79"/>
      <c r="S835" s="79"/>
      <c r="V835" s="79"/>
    </row>
    <row r="836" spans="7:22" x14ac:dyDescent="0.2">
      <c r="G836" s="79"/>
      <c r="J836" s="79"/>
      <c r="M836" s="104"/>
      <c r="P836" s="79"/>
      <c r="S836" s="79"/>
      <c r="V836" s="79"/>
    </row>
    <row r="837" spans="7:22" x14ac:dyDescent="0.2">
      <c r="G837" s="79"/>
      <c r="J837" s="79"/>
      <c r="M837" s="104"/>
      <c r="P837" s="79"/>
      <c r="S837" s="79"/>
      <c r="V837" s="79"/>
    </row>
    <row r="838" spans="7:22" x14ac:dyDescent="0.2">
      <c r="G838" s="79"/>
      <c r="J838" s="79"/>
      <c r="M838" s="104"/>
      <c r="P838" s="79"/>
      <c r="S838" s="79"/>
      <c r="V838" s="79"/>
    </row>
    <row r="839" spans="7:22" x14ac:dyDescent="0.2">
      <c r="G839" s="79"/>
      <c r="J839" s="79"/>
      <c r="M839" s="104"/>
      <c r="P839" s="79"/>
      <c r="S839" s="79"/>
      <c r="V839" s="79"/>
    </row>
    <row r="840" spans="7:22" x14ac:dyDescent="0.2">
      <c r="G840" s="79"/>
      <c r="J840" s="79"/>
      <c r="M840" s="104"/>
      <c r="P840" s="79"/>
      <c r="S840" s="79"/>
      <c r="V840" s="79"/>
    </row>
    <row r="841" spans="7:22" x14ac:dyDescent="0.2">
      <c r="G841" s="79"/>
      <c r="J841" s="79"/>
      <c r="M841" s="104"/>
      <c r="P841" s="79"/>
      <c r="S841" s="79"/>
      <c r="V841" s="79"/>
    </row>
    <row r="842" spans="7:22" x14ac:dyDescent="0.2">
      <c r="G842" s="79"/>
      <c r="J842" s="79"/>
      <c r="M842" s="104"/>
      <c r="P842" s="79"/>
      <c r="S842" s="79"/>
      <c r="V842" s="79"/>
    </row>
    <row r="843" spans="7:22" x14ac:dyDescent="0.2">
      <c r="G843" s="79"/>
      <c r="J843" s="79"/>
      <c r="M843" s="104"/>
      <c r="P843" s="79"/>
      <c r="S843" s="79"/>
      <c r="V843" s="79"/>
    </row>
    <row r="844" spans="7:22" x14ac:dyDescent="0.2">
      <c r="G844" s="79"/>
      <c r="J844" s="79"/>
      <c r="M844" s="104"/>
      <c r="P844" s="79"/>
      <c r="S844" s="79"/>
      <c r="V844" s="79"/>
    </row>
    <row r="845" spans="7:22" x14ac:dyDescent="0.2">
      <c r="G845" s="79"/>
      <c r="J845" s="79"/>
      <c r="M845" s="104"/>
      <c r="P845" s="79"/>
      <c r="S845" s="79"/>
      <c r="V845" s="79"/>
    </row>
    <row r="846" spans="7:22" x14ac:dyDescent="0.2">
      <c r="G846" s="79"/>
      <c r="J846" s="79"/>
      <c r="M846" s="104"/>
      <c r="P846" s="79"/>
      <c r="S846" s="79"/>
      <c r="V846" s="79"/>
    </row>
    <row r="847" spans="7:22" x14ac:dyDescent="0.2">
      <c r="G847" s="79"/>
      <c r="J847" s="79"/>
      <c r="M847" s="104"/>
      <c r="P847" s="79"/>
      <c r="S847" s="79"/>
      <c r="V847" s="79"/>
    </row>
    <row r="848" spans="7:22" x14ac:dyDescent="0.2">
      <c r="G848" s="79"/>
      <c r="J848" s="79"/>
      <c r="M848" s="104"/>
      <c r="P848" s="79"/>
      <c r="S848" s="79"/>
      <c r="V848" s="79"/>
    </row>
    <row r="849" spans="7:22" x14ac:dyDescent="0.2">
      <c r="G849" s="79"/>
      <c r="J849" s="79"/>
      <c r="M849" s="104"/>
      <c r="P849" s="79"/>
      <c r="S849" s="79"/>
      <c r="V849" s="79"/>
    </row>
    <row r="850" spans="7:22" x14ac:dyDescent="0.2">
      <c r="G850" s="79"/>
      <c r="J850" s="79"/>
      <c r="M850" s="104"/>
      <c r="P850" s="79"/>
      <c r="S850" s="79"/>
      <c r="V850" s="79"/>
    </row>
    <row r="851" spans="7:22" x14ac:dyDescent="0.2">
      <c r="G851" s="79"/>
      <c r="J851" s="79"/>
      <c r="M851" s="104"/>
      <c r="P851" s="79"/>
      <c r="S851" s="79"/>
      <c r="V851" s="79"/>
    </row>
    <row r="852" spans="7:22" x14ac:dyDescent="0.2">
      <c r="G852" s="79"/>
      <c r="J852" s="79"/>
      <c r="M852" s="104"/>
      <c r="P852" s="79"/>
      <c r="S852" s="79"/>
      <c r="V852" s="79"/>
    </row>
    <row r="853" spans="7:22" x14ac:dyDescent="0.2">
      <c r="G853" s="79"/>
      <c r="J853" s="79"/>
      <c r="M853" s="104"/>
      <c r="P853" s="79"/>
      <c r="S853" s="79"/>
      <c r="V853" s="79"/>
    </row>
    <row r="854" spans="7:22" x14ac:dyDescent="0.2">
      <c r="G854" s="79"/>
      <c r="J854" s="79"/>
      <c r="M854" s="104"/>
      <c r="P854" s="79"/>
      <c r="S854" s="79"/>
      <c r="V854" s="79"/>
    </row>
    <row r="855" spans="7:22" x14ac:dyDescent="0.2">
      <c r="G855" s="79"/>
      <c r="J855" s="79"/>
      <c r="M855" s="104"/>
      <c r="P855" s="79"/>
      <c r="S855" s="79"/>
      <c r="V855" s="79"/>
    </row>
    <row r="856" spans="7:22" x14ac:dyDescent="0.2">
      <c r="G856" s="79"/>
      <c r="J856" s="79"/>
      <c r="M856" s="104"/>
      <c r="P856" s="79"/>
      <c r="S856" s="79"/>
      <c r="V856" s="79"/>
    </row>
    <row r="857" spans="7:22" x14ac:dyDescent="0.2">
      <c r="G857" s="79"/>
      <c r="J857" s="79"/>
      <c r="M857" s="104"/>
      <c r="P857" s="79"/>
      <c r="S857" s="79"/>
      <c r="V857" s="79"/>
    </row>
    <row r="858" spans="7:22" x14ac:dyDescent="0.2">
      <c r="G858" s="79"/>
      <c r="J858" s="79"/>
      <c r="M858" s="104"/>
      <c r="P858" s="79"/>
      <c r="S858" s="79"/>
      <c r="V858" s="79"/>
    </row>
    <row r="859" spans="7:22" x14ac:dyDescent="0.2">
      <c r="G859" s="79"/>
      <c r="J859" s="79"/>
      <c r="M859" s="104"/>
      <c r="P859" s="79"/>
      <c r="S859" s="79"/>
      <c r="V859" s="79"/>
    </row>
    <row r="860" spans="7:22" x14ac:dyDescent="0.2">
      <c r="G860" s="79"/>
      <c r="J860" s="79"/>
      <c r="M860" s="104"/>
      <c r="P860" s="79"/>
      <c r="S860" s="79"/>
      <c r="V860" s="79"/>
    </row>
    <row r="861" spans="7:22" x14ac:dyDescent="0.2">
      <c r="G861" s="79"/>
      <c r="J861" s="79"/>
      <c r="M861" s="104"/>
      <c r="P861" s="79"/>
      <c r="S861" s="79"/>
      <c r="V861" s="79"/>
    </row>
    <row r="862" spans="7:22" x14ac:dyDescent="0.2">
      <c r="G862" s="79"/>
      <c r="J862" s="79"/>
      <c r="M862" s="104"/>
      <c r="P862" s="79"/>
      <c r="S862" s="79"/>
      <c r="V862" s="79"/>
    </row>
    <row r="863" spans="7:22" x14ac:dyDescent="0.2">
      <c r="G863" s="79"/>
      <c r="J863" s="79"/>
      <c r="M863" s="104"/>
      <c r="P863" s="79"/>
      <c r="S863" s="79"/>
      <c r="V863" s="79"/>
    </row>
    <row r="864" spans="7:22" x14ac:dyDescent="0.2">
      <c r="G864" s="79"/>
      <c r="J864" s="79"/>
      <c r="M864" s="104"/>
      <c r="P864" s="79"/>
      <c r="S864" s="79"/>
      <c r="V864" s="79"/>
    </row>
    <row r="865" spans="7:22" x14ac:dyDescent="0.2">
      <c r="G865" s="79"/>
      <c r="J865" s="79"/>
      <c r="M865" s="104"/>
      <c r="P865" s="79"/>
      <c r="S865" s="79"/>
      <c r="V865" s="79"/>
    </row>
    <row r="866" spans="7:22" x14ac:dyDescent="0.2">
      <c r="G866" s="79"/>
      <c r="J866" s="79"/>
      <c r="M866" s="104"/>
      <c r="P866" s="79"/>
      <c r="S866" s="79"/>
      <c r="V866" s="79"/>
    </row>
    <row r="867" spans="7:22" x14ac:dyDescent="0.2">
      <c r="G867" s="79"/>
      <c r="J867" s="79"/>
      <c r="M867" s="104"/>
      <c r="P867" s="79"/>
      <c r="S867" s="79"/>
      <c r="V867" s="79"/>
    </row>
    <row r="868" spans="7:22" x14ac:dyDescent="0.2">
      <c r="G868" s="79"/>
      <c r="J868" s="79"/>
      <c r="M868" s="104"/>
      <c r="P868" s="79"/>
      <c r="S868" s="79"/>
      <c r="V868" s="79"/>
    </row>
    <row r="869" spans="7:22" x14ac:dyDescent="0.2">
      <c r="G869" s="79"/>
      <c r="J869" s="79"/>
      <c r="M869" s="104"/>
      <c r="P869" s="79"/>
      <c r="S869" s="79"/>
      <c r="V869" s="79"/>
    </row>
    <row r="870" spans="7:22" x14ac:dyDescent="0.2">
      <c r="G870" s="79"/>
      <c r="J870" s="79"/>
      <c r="M870" s="104"/>
      <c r="P870" s="79"/>
      <c r="S870" s="79"/>
      <c r="V870" s="79"/>
    </row>
    <row r="871" spans="7:22" x14ac:dyDescent="0.2">
      <c r="G871" s="79"/>
      <c r="J871" s="79"/>
      <c r="M871" s="104"/>
      <c r="P871" s="79"/>
      <c r="S871" s="79"/>
      <c r="V871" s="79"/>
    </row>
    <row r="872" spans="7:22" x14ac:dyDescent="0.2">
      <c r="G872" s="79"/>
      <c r="J872" s="79"/>
      <c r="M872" s="104"/>
      <c r="P872" s="79"/>
      <c r="S872" s="79"/>
      <c r="V872" s="79"/>
    </row>
    <row r="873" spans="7:22" x14ac:dyDescent="0.2">
      <c r="G873" s="79"/>
      <c r="J873" s="79"/>
      <c r="M873" s="104"/>
      <c r="P873" s="79"/>
      <c r="S873" s="79"/>
      <c r="V873" s="79"/>
    </row>
    <row r="874" spans="7:22" x14ac:dyDescent="0.2">
      <c r="G874" s="79"/>
      <c r="J874" s="79"/>
      <c r="M874" s="104"/>
      <c r="P874" s="79"/>
      <c r="S874" s="79"/>
      <c r="V874" s="79"/>
    </row>
    <row r="875" spans="7:22" x14ac:dyDescent="0.2">
      <c r="G875" s="79"/>
      <c r="J875" s="79"/>
      <c r="M875" s="104"/>
      <c r="P875" s="79"/>
      <c r="S875" s="79"/>
      <c r="V875" s="79"/>
    </row>
    <row r="876" spans="7:22" x14ac:dyDescent="0.2">
      <c r="G876" s="79"/>
      <c r="J876" s="79"/>
      <c r="M876" s="104"/>
      <c r="P876" s="79"/>
      <c r="S876" s="79"/>
      <c r="V876" s="79"/>
    </row>
    <row r="877" spans="7:22" x14ac:dyDescent="0.2">
      <c r="G877" s="79"/>
      <c r="J877" s="79"/>
      <c r="M877" s="104"/>
      <c r="P877" s="79"/>
      <c r="S877" s="79"/>
      <c r="V877" s="79"/>
    </row>
    <row r="878" spans="7:22" x14ac:dyDescent="0.2">
      <c r="G878" s="79"/>
      <c r="J878" s="79"/>
      <c r="M878" s="104"/>
      <c r="P878" s="79"/>
      <c r="S878" s="79"/>
      <c r="V878" s="79"/>
    </row>
    <row r="879" spans="7:22" x14ac:dyDescent="0.2">
      <c r="G879" s="79"/>
      <c r="J879" s="79"/>
      <c r="M879" s="104"/>
      <c r="P879" s="79"/>
      <c r="S879" s="79"/>
      <c r="V879" s="79"/>
    </row>
    <row r="880" spans="7:22" x14ac:dyDescent="0.2">
      <c r="G880" s="79"/>
      <c r="J880" s="79"/>
      <c r="M880" s="104"/>
      <c r="P880" s="79"/>
      <c r="S880" s="79"/>
      <c r="V880" s="79"/>
    </row>
    <row r="881" spans="7:22" x14ac:dyDescent="0.2">
      <c r="G881" s="79"/>
      <c r="J881" s="79"/>
      <c r="M881" s="104"/>
      <c r="P881" s="79"/>
      <c r="S881" s="79"/>
      <c r="V881" s="79"/>
    </row>
    <row r="882" spans="7:22" x14ac:dyDescent="0.2">
      <c r="G882" s="79"/>
      <c r="J882" s="79"/>
      <c r="M882" s="104"/>
      <c r="P882" s="79"/>
      <c r="S882" s="79"/>
      <c r="V882" s="79"/>
    </row>
    <row r="883" spans="7:22" x14ac:dyDescent="0.2">
      <c r="G883" s="79"/>
      <c r="J883" s="79"/>
      <c r="M883" s="104"/>
      <c r="P883" s="79"/>
      <c r="S883" s="79"/>
      <c r="V883" s="79"/>
    </row>
    <row r="884" spans="7:22" x14ac:dyDescent="0.2">
      <c r="G884" s="79"/>
      <c r="J884" s="79"/>
      <c r="M884" s="104"/>
      <c r="P884" s="79"/>
      <c r="S884" s="79"/>
      <c r="V884" s="79"/>
    </row>
    <row r="885" spans="7:22" x14ac:dyDescent="0.2">
      <c r="G885" s="79"/>
      <c r="J885" s="79"/>
      <c r="M885" s="104"/>
      <c r="P885" s="79"/>
      <c r="S885" s="79"/>
      <c r="V885" s="79"/>
    </row>
    <row r="886" spans="7:22" x14ac:dyDescent="0.2">
      <c r="G886" s="79"/>
      <c r="J886" s="79"/>
      <c r="M886" s="104"/>
      <c r="P886" s="79"/>
      <c r="S886" s="79"/>
      <c r="V886" s="79"/>
    </row>
    <row r="887" spans="7:22" x14ac:dyDescent="0.2">
      <c r="G887" s="79"/>
      <c r="J887" s="79"/>
      <c r="M887" s="104"/>
      <c r="P887" s="79"/>
      <c r="S887" s="79"/>
      <c r="V887" s="79"/>
    </row>
    <row r="888" spans="7:22" x14ac:dyDescent="0.2">
      <c r="G888" s="79"/>
      <c r="J888" s="79"/>
      <c r="M888" s="104"/>
      <c r="P888" s="79"/>
      <c r="S888" s="79"/>
      <c r="V888" s="79"/>
    </row>
    <row r="889" spans="7:22" x14ac:dyDescent="0.2">
      <c r="G889" s="79"/>
      <c r="J889" s="79"/>
      <c r="M889" s="104"/>
      <c r="P889" s="79"/>
      <c r="S889" s="79"/>
      <c r="V889" s="79"/>
    </row>
    <row r="890" spans="7:22" x14ac:dyDescent="0.2">
      <c r="G890" s="79"/>
      <c r="J890" s="79"/>
      <c r="M890" s="104"/>
      <c r="P890" s="79"/>
      <c r="S890" s="79"/>
      <c r="V890" s="79"/>
    </row>
    <row r="891" spans="7:22" x14ac:dyDescent="0.2">
      <c r="G891" s="79"/>
      <c r="J891" s="79"/>
      <c r="M891" s="104"/>
      <c r="P891" s="79"/>
      <c r="S891" s="79"/>
      <c r="V891" s="79"/>
    </row>
    <row r="892" spans="7:22" x14ac:dyDescent="0.2">
      <c r="G892" s="79"/>
      <c r="J892" s="79"/>
      <c r="M892" s="104"/>
      <c r="P892" s="79"/>
      <c r="S892" s="79"/>
      <c r="V892" s="79"/>
    </row>
    <row r="893" spans="7:22" x14ac:dyDescent="0.2">
      <c r="G893" s="79"/>
      <c r="J893" s="79"/>
      <c r="M893" s="104"/>
      <c r="P893" s="79"/>
      <c r="S893" s="79"/>
      <c r="V893" s="79"/>
    </row>
    <row r="894" spans="7:22" x14ac:dyDescent="0.2">
      <c r="G894" s="79"/>
      <c r="J894" s="79"/>
      <c r="M894" s="104"/>
      <c r="P894" s="79"/>
      <c r="S894" s="79"/>
      <c r="V894" s="79"/>
    </row>
    <row r="895" spans="7:22" x14ac:dyDescent="0.2">
      <c r="G895" s="79"/>
      <c r="J895" s="79"/>
      <c r="M895" s="104"/>
      <c r="P895" s="79"/>
      <c r="S895" s="79"/>
      <c r="V895" s="79"/>
    </row>
    <row r="896" spans="7:22" x14ac:dyDescent="0.2">
      <c r="G896" s="79"/>
      <c r="J896" s="79"/>
      <c r="M896" s="104"/>
      <c r="P896" s="79"/>
      <c r="S896" s="79"/>
      <c r="V896" s="79"/>
    </row>
    <row r="897" spans="7:22" x14ac:dyDescent="0.2">
      <c r="G897" s="79"/>
      <c r="J897" s="79"/>
      <c r="M897" s="104"/>
      <c r="P897" s="79"/>
      <c r="S897" s="79"/>
      <c r="V897" s="79"/>
    </row>
    <row r="898" spans="7:22" x14ac:dyDescent="0.2">
      <c r="G898" s="79"/>
      <c r="J898" s="79"/>
      <c r="M898" s="104"/>
      <c r="P898" s="79"/>
      <c r="S898" s="79"/>
      <c r="V898" s="79"/>
    </row>
    <row r="899" spans="7:22" x14ac:dyDescent="0.2">
      <c r="G899" s="79"/>
      <c r="J899" s="79"/>
      <c r="M899" s="104"/>
      <c r="P899" s="79"/>
      <c r="S899" s="79"/>
      <c r="V899" s="79"/>
    </row>
    <row r="900" spans="7:22" x14ac:dyDescent="0.2">
      <c r="G900" s="79"/>
      <c r="J900" s="79"/>
      <c r="M900" s="104"/>
      <c r="P900" s="79"/>
      <c r="S900" s="79"/>
      <c r="V900" s="79"/>
    </row>
    <row r="901" spans="7:22" x14ac:dyDescent="0.2">
      <c r="G901" s="79"/>
      <c r="J901" s="79"/>
      <c r="M901" s="104"/>
      <c r="P901" s="79"/>
      <c r="S901" s="79"/>
      <c r="V901" s="79"/>
    </row>
    <row r="902" spans="7:22" x14ac:dyDescent="0.2">
      <c r="G902" s="79"/>
      <c r="J902" s="79"/>
      <c r="M902" s="104"/>
      <c r="P902" s="79"/>
      <c r="S902" s="79"/>
      <c r="V902" s="79"/>
    </row>
    <row r="903" spans="7:22" x14ac:dyDescent="0.2">
      <c r="G903" s="79"/>
      <c r="J903" s="79"/>
      <c r="M903" s="104"/>
      <c r="P903" s="79"/>
      <c r="S903" s="79"/>
      <c r="V903" s="79"/>
    </row>
    <row r="904" spans="7:22" x14ac:dyDescent="0.2">
      <c r="G904" s="79"/>
      <c r="J904" s="79"/>
      <c r="M904" s="104"/>
      <c r="P904" s="79"/>
      <c r="S904" s="79"/>
      <c r="V904" s="79"/>
    </row>
    <row r="905" spans="7:22" x14ac:dyDescent="0.2">
      <c r="G905" s="79"/>
      <c r="J905" s="79"/>
      <c r="M905" s="104"/>
      <c r="P905" s="79"/>
      <c r="S905" s="79"/>
      <c r="V905" s="79"/>
    </row>
    <row r="906" spans="7:22" x14ac:dyDescent="0.2">
      <c r="G906" s="79"/>
      <c r="J906" s="79"/>
      <c r="M906" s="104"/>
      <c r="P906" s="79"/>
      <c r="S906" s="79"/>
      <c r="V906" s="79"/>
    </row>
    <row r="907" spans="7:22" x14ac:dyDescent="0.2">
      <c r="G907" s="79"/>
      <c r="J907" s="79"/>
      <c r="M907" s="104"/>
      <c r="P907" s="79"/>
      <c r="S907" s="79"/>
      <c r="V907" s="79"/>
    </row>
    <row r="908" spans="7:22" x14ac:dyDescent="0.2">
      <c r="G908" s="79"/>
      <c r="J908" s="79"/>
      <c r="M908" s="104"/>
      <c r="P908" s="79"/>
      <c r="S908" s="79"/>
      <c r="V908" s="79"/>
    </row>
    <row r="909" spans="7:22" x14ac:dyDescent="0.2">
      <c r="G909" s="79"/>
      <c r="J909" s="79"/>
      <c r="M909" s="104"/>
      <c r="P909" s="79"/>
      <c r="S909" s="79"/>
      <c r="V909" s="79"/>
    </row>
    <row r="910" spans="7:22" x14ac:dyDescent="0.2">
      <c r="G910" s="79"/>
      <c r="J910" s="79"/>
      <c r="M910" s="104"/>
      <c r="P910" s="79"/>
      <c r="S910" s="79"/>
      <c r="V910" s="79"/>
    </row>
    <row r="911" spans="7:22" x14ac:dyDescent="0.2">
      <c r="G911" s="79"/>
      <c r="J911" s="79"/>
      <c r="M911" s="104"/>
      <c r="P911" s="79"/>
      <c r="S911" s="79"/>
      <c r="V911" s="79"/>
    </row>
    <row r="912" spans="7:22" x14ac:dyDescent="0.2">
      <c r="G912" s="79"/>
      <c r="J912" s="79"/>
      <c r="M912" s="104"/>
      <c r="P912" s="79"/>
      <c r="S912" s="79"/>
      <c r="V912" s="79"/>
    </row>
    <row r="913" spans="7:22" x14ac:dyDescent="0.2">
      <c r="G913" s="79"/>
      <c r="J913" s="79"/>
      <c r="M913" s="104"/>
      <c r="P913" s="79"/>
      <c r="S913" s="79"/>
      <c r="V913" s="79"/>
    </row>
    <row r="914" spans="7:22" x14ac:dyDescent="0.2">
      <c r="G914" s="79"/>
      <c r="J914" s="79"/>
      <c r="M914" s="104"/>
      <c r="P914" s="79"/>
      <c r="S914" s="79"/>
      <c r="V914" s="79"/>
    </row>
    <row r="915" spans="7:22" x14ac:dyDescent="0.2">
      <c r="G915" s="79"/>
      <c r="J915" s="79"/>
      <c r="M915" s="104"/>
      <c r="P915" s="79"/>
      <c r="S915" s="79"/>
      <c r="V915" s="79"/>
    </row>
    <row r="916" spans="7:22" x14ac:dyDescent="0.2">
      <c r="G916" s="79"/>
      <c r="J916" s="79"/>
      <c r="M916" s="104"/>
      <c r="P916" s="79"/>
      <c r="S916" s="79"/>
      <c r="V916" s="79"/>
    </row>
    <row r="917" spans="7:22" x14ac:dyDescent="0.2">
      <c r="G917" s="79"/>
      <c r="J917" s="79"/>
      <c r="M917" s="104"/>
      <c r="P917" s="79"/>
      <c r="S917" s="79"/>
      <c r="V917" s="79"/>
    </row>
    <row r="918" spans="7:22" x14ac:dyDescent="0.2">
      <c r="G918" s="79"/>
      <c r="J918" s="79"/>
      <c r="M918" s="104"/>
      <c r="P918" s="79"/>
      <c r="S918" s="79"/>
      <c r="V918" s="79"/>
    </row>
    <row r="919" spans="7:22" x14ac:dyDescent="0.2">
      <c r="G919" s="79"/>
      <c r="J919" s="79"/>
      <c r="M919" s="104"/>
      <c r="P919" s="79"/>
      <c r="S919" s="79"/>
      <c r="V919" s="79"/>
    </row>
    <row r="920" spans="7:22" x14ac:dyDescent="0.2">
      <c r="G920" s="79"/>
      <c r="J920" s="79"/>
      <c r="M920" s="104"/>
      <c r="P920" s="79"/>
      <c r="S920" s="79"/>
      <c r="V920" s="79"/>
    </row>
    <row r="921" spans="7:22" x14ac:dyDescent="0.2">
      <c r="G921" s="79"/>
      <c r="J921" s="79"/>
      <c r="M921" s="104"/>
      <c r="P921" s="79"/>
      <c r="S921" s="79"/>
      <c r="V921" s="79"/>
    </row>
    <row r="922" spans="7:22" x14ac:dyDescent="0.2">
      <c r="G922" s="79"/>
      <c r="J922" s="79"/>
      <c r="M922" s="104"/>
      <c r="P922" s="79"/>
      <c r="S922" s="79"/>
      <c r="V922" s="79"/>
    </row>
    <row r="923" spans="7:22" x14ac:dyDescent="0.2">
      <c r="G923" s="79"/>
      <c r="J923" s="79"/>
      <c r="M923" s="104"/>
      <c r="P923" s="79"/>
      <c r="S923" s="79"/>
      <c r="V923" s="79"/>
    </row>
    <row r="924" spans="7:22" x14ac:dyDescent="0.2">
      <c r="G924" s="79"/>
      <c r="J924" s="79"/>
      <c r="M924" s="104"/>
      <c r="P924" s="79"/>
      <c r="S924" s="79"/>
      <c r="V924" s="79"/>
    </row>
    <row r="925" spans="7:22" x14ac:dyDescent="0.2">
      <c r="G925" s="79"/>
      <c r="J925" s="79"/>
      <c r="M925" s="104"/>
      <c r="P925" s="79"/>
      <c r="S925" s="79"/>
      <c r="V925" s="79"/>
    </row>
    <row r="926" spans="7:22" x14ac:dyDescent="0.2">
      <c r="G926" s="79"/>
      <c r="J926" s="79"/>
      <c r="M926" s="104"/>
      <c r="P926" s="79"/>
      <c r="S926" s="79"/>
      <c r="V926" s="79"/>
    </row>
    <row r="927" spans="7:22" x14ac:dyDescent="0.2">
      <c r="G927" s="79"/>
      <c r="J927" s="79"/>
      <c r="M927" s="104"/>
      <c r="P927" s="79"/>
      <c r="S927" s="79"/>
      <c r="V927" s="79"/>
    </row>
    <row r="928" spans="7:22" x14ac:dyDescent="0.2">
      <c r="G928" s="79"/>
      <c r="J928" s="79"/>
      <c r="M928" s="104"/>
      <c r="P928" s="79"/>
      <c r="S928" s="79"/>
      <c r="V928" s="79"/>
    </row>
    <row r="929" spans="7:22" x14ac:dyDescent="0.2">
      <c r="G929" s="79"/>
      <c r="J929" s="79"/>
      <c r="M929" s="104"/>
      <c r="P929" s="79"/>
      <c r="S929" s="79"/>
      <c r="V929" s="79"/>
    </row>
    <row r="930" spans="7:22" x14ac:dyDescent="0.2">
      <c r="G930" s="79"/>
      <c r="J930" s="79"/>
      <c r="M930" s="104"/>
      <c r="P930" s="79"/>
      <c r="S930" s="79"/>
      <c r="V930" s="79"/>
    </row>
    <row r="931" spans="7:22" x14ac:dyDescent="0.2">
      <c r="G931" s="79"/>
      <c r="J931" s="79"/>
      <c r="M931" s="104"/>
      <c r="P931" s="79"/>
      <c r="S931" s="79"/>
      <c r="V931" s="79"/>
    </row>
    <row r="932" spans="7:22" x14ac:dyDescent="0.2">
      <c r="G932" s="79"/>
      <c r="J932" s="79"/>
      <c r="M932" s="104"/>
      <c r="P932" s="79"/>
      <c r="S932" s="79"/>
      <c r="V932" s="79"/>
    </row>
    <row r="933" spans="7:22" x14ac:dyDescent="0.2">
      <c r="G933" s="79"/>
      <c r="J933" s="79"/>
      <c r="M933" s="104"/>
      <c r="P933" s="79"/>
      <c r="S933" s="79"/>
      <c r="V933" s="79"/>
    </row>
    <row r="934" spans="7:22" x14ac:dyDescent="0.2">
      <c r="G934" s="79"/>
      <c r="J934" s="79"/>
      <c r="M934" s="104"/>
      <c r="P934" s="79"/>
      <c r="S934" s="79"/>
      <c r="V934" s="79"/>
    </row>
    <row r="935" spans="7:22" x14ac:dyDescent="0.2">
      <c r="G935" s="79"/>
      <c r="J935" s="79"/>
      <c r="M935" s="104"/>
      <c r="P935" s="79"/>
      <c r="S935" s="79"/>
      <c r="V935" s="79"/>
    </row>
    <row r="936" spans="7:22" x14ac:dyDescent="0.2">
      <c r="G936" s="79"/>
      <c r="J936" s="79"/>
      <c r="M936" s="104"/>
      <c r="P936" s="79"/>
      <c r="S936" s="79"/>
      <c r="V936" s="79"/>
    </row>
    <row r="937" spans="7:22" x14ac:dyDescent="0.2">
      <c r="G937" s="79"/>
      <c r="J937" s="79"/>
      <c r="M937" s="104"/>
      <c r="P937" s="79"/>
      <c r="S937" s="79"/>
      <c r="V937" s="79"/>
    </row>
    <row r="938" spans="7:22" x14ac:dyDescent="0.2">
      <c r="G938" s="79"/>
      <c r="J938" s="79"/>
      <c r="M938" s="104"/>
      <c r="P938" s="79"/>
      <c r="S938" s="79"/>
      <c r="V938" s="79"/>
    </row>
    <row r="939" spans="7:22" x14ac:dyDescent="0.2">
      <c r="G939" s="79"/>
      <c r="J939" s="79"/>
      <c r="M939" s="104"/>
      <c r="P939" s="79"/>
      <c r="S939" s="79"/>
      <c r="V939" s="79"/>
    </row>
    <row r="940" spans="7:22" x14ac:dyDescent="0.2">
      <c r="G940" s="79"/>
      <c r="J940" s="79"/>
      <c r="M940" s="104"/>
      <c r="P940" s="79"/>
      <c r="S940" s="79"/>
      <c r="V940" s="79"/>
    </row>
    <row r="941" spans="7:22" x14ac:dyDescent="0.2">
      <c r="G941" s="79"/>
      <c r="J941" s="79"/>
      <c r="M941" s="104"/>
      <c r="P941" s="79"/>
      <c r="S941" s="79"/>
      <c r="V941" s="79"/>
    </row>
    <row r="942" spans="7:22" x14ac:dyDescent="0.2">
      <c r="G942" s="79"/>
      <c r="J942" s="79"/>
      <c r="M942" s="104"/>
      <c r="P942" s="79"/>
      <c r="S942" s="79"/>
      <c r="V942" s="79"/>
    </row>
    <row r="943" spans="7:22" x14ac:dyDescent="0.2">
      <c r="G943" s="79"/>
      <c r="J943" s="79"/>
      <c r="M943" s="104"/>
      <c r="P943" s="79"/>
      <c r="S943" s="79"/>
      <c r="V943" s="79"/>
    </row>
    <row r="944" spans="7:22" x14ac:dyDescent="0.2">
      <c r="G944" s="79"/>
      <c r="J944" s="79"/>
      <c r="M944" s="104"/>
      <c r="P944" s="79"/>
      <c r="S944" s="79"/>
      <c r="V944" s="79"/>
    </row>
    <row r="945" spans="7:22" x14ac:dyDescent="0.2">
      <c r="G945" s="79"/>
      <c r="J945" s="79"/>
      <c r="M945" s="104"/>
      <c r="P945" s="79"/>
      <c r="S945" s="79"/>
      <c r="V945" s="79"/>
    </row>
    <row r="946" spans="7:22" x14ac:dyDescent="0.2">
      <c r="G946" s="79"/>
      <c r="J946" s="79"/>
      <c r="M946" s="104"/>
      <c r="P946" s="79"/>
      <c r="S946" s="79"/>
      <c r="V946" s="79"/>
    </row>
    <row r="947" spans="7:22" x14ac:dyDescent="0.2">
      <c r="G947" s="79"/>
      <c r="J947" s="79"/>
      <c r="M947" s="104"/>
      <c r="P947" s="79"/>
      <c r="S947" s="79"/>
      <c r="V947" s="79"/>
    </row>
    <row r="948" spans="7:22" x14ac:dyDescent="0.2">
      <c r="G948" s="79"/>
      <c r="J948" s="79"/>
      <c r="M948" s="104"/>
      <c r="P948" s="79"/>
      <c r="S948" s="79"/>
      <c r="V948" s="79"/>
    </row>
    <row r="949" spans="7:22" x14ac:dyDescent="0.2">
      <c r="G949" s="79"/>
      <c r="J949" s="79"/>
      <c r="M949" s="104"/>
      <c r="P949" s="79"/>
      <c r="S949" s="79"/>
      <c r="V949" s="79"/>
    </row>
    <row r="950" spans="7:22" x14ac:dyDescent="0.2">
      <c r="G950" s="79"/>
      <c r="J950" s="79"/>
      <c r="M950" s="104"/>
      <c r="P950" s="79"/>
      <c r="S950" s="79"/>
      <c r="V950" s="79"/>
    </row>
    <row r="951" spans="7:22" x14ac:dyDescent="0.2">
      <c r="G951" s="79"/>
      <c r="J951" s="79"/>
      <c r="M951" s="104"/>
      <c r="P951" s="79"/>
      <c r="S951" s="79"/>
      <c r="V951" s="79"/>
    </row>
    <row r="952" spans="7:22" x14ac:dyDescent="0.2">
      <c r="G952" s="79"/>
      <c r="J952" s="79"/>
      <c r="M952" s="104"/>
      <c r="P952" s="79"/>
      <c r="S952" s="79"/>
      <c r="V952" s="79"/>
    </row>
    <row r="953" spans="7:22" x14ac:dyDescent="0.2">
      <c r="G953" s="79"/>
      <c r="J953" s="79"/>
      <c r="M953" s="104"/>
      <c r="P953" s="79"/>
      <c r="S953" s="79"/>
      <c r="V953" s="79"/>
    </row>
    <row r="954" spans="7:22" x14ac:dyDescent="0.2">
      <c r="G954" s="79"/>
      <c r="J954" s="79"/>
      <c r="M954" s="104"/>
      <c r="P954" s="79"/>
      <c r="S954" s="79"/>
      <c r="V954" s="79"/>
    </row>
    <row r="955" spans="7:22" x14ac:dyDescent="0.2">
      <c r="G955" s="79"/>
      <c r="J955" s="79"/>
      <c r="M955" s="104"/>
      <c r="P955" s="79"/>
      <c r="S955" s="79"/>
      <c r="V955" s="79"/>
    </row>
    <row r="956" spans="7:22" x14ac:dyDescent="0.2">
      <c r="G956" s="79"/>
      <c r="J956" s="79"/>
      <c r="M956" s="104"/>
      <c r="P956" s="79"/>
      <c r="S956" s="79"/>
      <c r="V956" s="79"/>
    </row>
    <row r="957" spans="7:22" x14ac:dyDescent="0.2">
      <c r="G957" s="79"/>
      <c r="J957" s="79"/>
      <c r="M957" s="104"/>
      <c r="P957" s="79"/>
      <c r="S957" s="79"/>
      <c r="V957" s="79"/>
    </row>
    <row r="958" spans="7:22" x14ac:dyDescent="0.2">
      <c r="G958" s="79"/>
      <c r="J958" s="79"/>
      <c r="M958" s="104"/>
      <c r="P958" s="79"/>
      <c r="S958" s="79"/>
      <c r="V958" s="79"/>
    </row>
    <row r="959" spans="7:22" x14ac:dyDescent="0.2">
      <c r="G959" s="79"/>
      <c r="J959" s="79"/>
      <c r="M959" s="104"/>
      <c r="P959" s="79"/>
      <c r="S959" s="79"/>
      <c r="V959" s="79"/>
    </row>
    <row r="960" spans="7:22" x14ac:dyDescent="0.2">
      <c r="G960" s="79"/>
      <c r="J960" s="79"/>
      <c r="M960" s="104"/>
      <c r="P960" s="79"/>
      <c r="S960" s="79"/>
      <c r="V960" s="79"/>
    </row>
    <row r="961" spans="7:22" x14ac:dyDescent="0.2">
      <c r="G961" s="79"/>
      <c r="J961" s="79"/>
      <c r="M961" s="104"/>
      <c r="P961" s="79"/>
      <c r="S961" s="79"/>
      <c r="V961" s="79"/>
    </row>
    <row r="962" spans="7:22" x14ac:dyDescent="0.2">
      <c r="G962" s="79"/>
      <c r="J962" s="79"/>
      <c r="M962" s="104"/>
      <c r="P962" s="79"/>
      <c r="S962" s="79"/>
      <c r="V962" s="79"/>
    </row>
    <row r="963" spans="7:22" x14ac:dyDescent="0.2">
      <c r="G963" s="79"/>
      <c r="J963" s="79"/>
      <c r="M963" s="104"/>
      <c r="P963" s="79"/>
      <c r="S963" s="79"/>
      <c r="V963" s="79"/>
    </row>
    <row r="964" spans="7:22" x14ac:dyDescent="0.2">
      <c r="G964" s="79"/>
      <c r="J964" s="79"/>
      <c r="M964" s="104"/>
      <c r="P964" s="79"/>
      <c r="S964" s="79"/>
      <c r="V964" s="79"/>
    </row>
    <row r="965" spans="7:22" x14ac:dyDescent="0.2">
      <c r="G965" s="79"/>
      <c r="J965" s="79"/>
      <c r="M965" s="104"/>
      <c r="P965" s="79"/>
      <c r="S965" s="79"/>
      <c r="V965" s="79"/>
    </row>
    <row r="966" spans="7:22" x14ac:dyDescent="0.2">
      <c r="G966" s="79"/>
      <c r="J966" s="79"/>
      <c r="M966" s="104"/>
      <c r="P966" s="79"/>
      <c r="S966" s="79"/>
      <c r="V966" s="79"/>
    </row>
    <row r="967" spans="7:22" x14ac:dyDescent="0.2">
      <c r="G967" s="79"/>
      <c r="J967" s="79"/>
      <c r="M967" s="104"/>
      <c r="P967" s="79"/>
      <c r="S967" s="79"/>
      <c r="V967" s="79"/>
    </row>
    <row r="968" spans="7:22" x14ac:dyDescent="0.2">
      <c r="G968" s="79"/>
      <c r="J968" s="79"/>
      <c r="M968" s="104"/>
      <c r="P968" s="79"/>
      <c r="S968" s="79"/>
      <c r="V968" s="79"/>
    </row>
    <row r="969" spans="7:22" x14ac:dyDescent="0.2">
      <c r="G969" s="79"/>
      <c r="J969" s="79"/>
      <c r="M969" s="104"/>
      <c r="P969" s="79"/>
      <c r="S969" s="79"/>
      <c r="V969" s="79"/>
    </row>
    <row r="970" spans="7:22" x14ac:dyDescent="0.2">
      <c r="G970" s="79"/>
      <c r="J970" s="79"/>
      <c r="M970" s="104"/>
      <c r="P970" s="79"/>
      <c r="S970" s="79"/>
      <c r="V970" s="79"/>
    </row>
    <row r="971" spans="7:22" x14ac:dyDescent="0.2">
      <c r="G971" s="79"/>
      <c r="J971" s="79"/>
      <c r="M971" s="104"/>
      <c r="P971" s="79"/>
      <c r="S971" s="79"/>
      <c r="V971" s="79"/>
    </row>
    <row r="972" spans="7:22" x14ac:dyDescent="0.2">
      <c r="G972" s="79"/>
      <c r="J972" s="79"/>
      <c r="M972" s="104"/>
      <c r="P972" s="79"/>
      <c r="S972" s="79"/>
      <c r="V972" s="79"/>
    </row>
    <row r="973" spans="7:22" x14ac:dyDescent="0.2">
      <c r="G973" s="79"/>
      <c r="J973" s="79"/>
      <c r="M973" s="104"/>
      <c r="P973" s="79"/>
      <c r="S973" s="79"/>
      <c r="V973" s="79"/>
    </row>
    <row r="974" spans="7:22" x14ac:dyDescent="0.2">
      <c r="G974" s="79"/>
      <c r="J974" s="79"/>
      <c r="M974" s="104"/>
      <c r="P974" s="79"/>
      <c r="S974" s="79"/>
      <c r="V974" s="79"/>
    </row>
    <row r="975" spans="7:22" x14ac:dyDescent="0.2">
      <c r="G975" s="79"/>
      <c r="J975" s="79"/>
      <c r="M975" s="104"/>
      <c r="P975" s="79"/>
      <c r="S975" s="79"/>
      <c r="V975" s="79"/>
    </row>
    <row r="976" spans="7:22" x14ac:dyDescent="0.2">
      <c r="G976" s="79"/>
      <c r="J976" s="79"/>
      <c r="M976" s="104"/>
      <c r="P976" s="79"/>
      <c r="S976" s="79"/>
      <c r="V976" s="79"/>
    </row>
    <row r="977" spans="7:22" x14ac:dyDescent="0.2">
      <c r="G977" s="79"/>
      <c r="J977" s="79"/>
      <c r="M977" s="104"/>
      <c r="P977" s="79"/>
      <c r="S977" s="79"/>
      <c r="V977" s="79"/>
    </row>
    <row r="978" spans="7:22" x14ac:dyDescent="0.2">
      <c r="G978" s="79"/>
      <c r="J978" s="79"/>
      <c r="M978" s="104"/>
      <c r="P978" s="79"/>
      <c r="S978" s="79"/>
      <c r="V978" s="79"/>
    </row>
    <row r="979" spans="7:22" x14ac:dyDescent="0.2">
      <c r="G979" s="79"/>
      <c r="J979" s="79"/>
      <c r="M979" s="104"/>
      <c r="P979" s="79"/>
      <c r="S979" s="79"/>
      <c r="V979" s="79"/>
    </row>
    <row r="980" spans="7:22" x14ac:dyDescent="0.2">
      <c r="G980" s="79"/>
      <c r="J980" s="79"/>
      <c r="M980" s="104"/>
      <c r="P980" s="79"/>
      <c r="S980" s="79"/>
      <c r="V980" s="79"/>
    </row>
    <row r="981" spans="7:22" x14ac:dyDescent="0.2">
      <c r="G981" s="79"/>
      <c r="J981" s="79"/>
      <c r="M981" s="104"/>
      <c r="P981" s="79"/>
      <c r="S981" s="79"/>
      <c r="V981" s="79"/>
    </row>
    <row r="982" spans="7:22" x14ac:dyDescent="0.2">
      <c r="G982" s="79"/>
      <c r="J982" s="79"/>
      <c r="M982" s="104"/>
      <c r="P982" s="79"/>
      <c r="S982" s="79"/>
      <c r="V982" s="79"/>
    </row>
    <row r="983" spans="7:22" x14ac:dyDescent="0.2">
      <c r="G983" s="79"/>
      <c r="J983" s="79"/>
      <c r="M983" s="104"/>
      <c r="P983" s="79"/>
      <c r="S983" s="79"/>
      <c r="V983" s="79"/>
    </row>
    <row r="984" spans="7:22" x14ac:dyDescent="0.2">
      <c r="G984" s="79"/>
      <c r="J984" s="79"/>
      <c r="M984" s="104"/>
      <c r="P984" s="79"/>
      <c r="S984" s="79"/>
      <c r="V984" s="79"/>
    </row>
    <row r="985" spans="7:22" x14ac:dyDescent="0.2">
      <c r="G985" s="79"/>
      <c r="J985" s="79"/>
      <c r="M985" s="104"/>
      <c r="P985" s="79"/>
      <c r="S985" s="79"/>
      <c r="V985" s="79"/>
    </row>
    <row r="986" spans="7:22" x14ac:dyDescent="0.2">
      <c r="G986" s="79"/>
      <c r="J986" s="79"/>
      <c r="M986" s="104"/>
      <c r="P986" s="79"/>
      <c r="S986" s="79"/>
      <c r="V986" s="79"/>
    </row>
    <row r="987" spans="7:22" x14ac:dyDescent="0.2">
      <c r="G987" s="79"/>
      <c r="J987" s="79"/>
      <c r="M987" s="104"/>
      <c r="P987" s="79"/>
      <c r="S987" s="79"/>
      <c r="V987" s="79"/>
    </row>
    <row r="988" spans="7:22" x14ac:dyDescent="0.2">
      <c r="G988" s="79"/>
      <c r="J988" s="79"/>
      <c r="M988" s="104"/>
      <c r="P988" s="79"/>
      <c r="S988" s="79"/>
      <c r="V988" s="79"/>
    </row>
    <row r="989" spans="7:22" x14ac:dyDescent="0.2">
      <c r="G989" s="79"/>
      <c r="J989" s="79"/>
      <c r="M989" s="104"/>
      <c r="P989" s="79"/>
      <c r="S989" s="79"/>
      <c r="V989" s="79"/>
    </row>
    <row r="990" spans="7:22" x14ac:dyDescent="0.2">
      <c r="G990" s="79"/>
      <c r="J990" s="79"/>
      <c r="M990" s="104"/>
      <c r="P990" s="79"/>
      <c r="S990" s="79"/>
      <c r="V990" s="79"/>
    </row>
    <row r="991" spans="7:22" x14ac:dyDescent="0.2">
      <c r="G991" s="79"/>
      <c r="J991" s="79"/>
      <c r="M991" s="104"/>
      <c r="P991" s="79"/>
      <c r="S991" s="79"/>
      <c r="V991" s="79"/>
    </row>
    <row r="992" spans="7:22" x14ac:dyDescent="0.2">
      <c r="G992" s="79"/>
      <c r="J992" s="79"/>
      <c r="M992" s="104"/>
      <c r="P992" s="79"/>
      <c r="S992" s="79"/>
      <c r="V992" s="79"/>
    </row>
    <row r="993" spans="7:22" x14ac:dyDescent="0.2">
      <c r="G993" s="79"/>
      <c r="J993" s="79"/>
      <c r="M993" s="104"/>
      <c r="P993" s="79"/>
      <c r="S993" s="79"/>
      <c r="V993" s="79"/>
    </row>
    <row r="994" spans="7:22" x14ac:dyDescent="0.2">
      <c r="G994" s="79"/>
      <c r="J994" s="79"/>
      <c r="M994" s="104"/>
      <c r="P994" s="79"/>
      <c r="S994" s="79"/>
      <c r="V994" s="79"/>
    </row>
    <row r="995" spans="7:22" x14ac:dyDescent="0.2">
      <c r="G995" s="79"/>
      <c r="J995" s="79"/>
      <c r="M995" s="104"/>
      <c r="P995" s="79"/>
      <c r="S995" s="79"/>
      <c r="V995" s="79"/>
    </row>
    <row r="996" spans="7:22" x14ac:dyDescent="0.2">
      <c r="G996" s="79"/>
      <c r="J996" s="79"/>
      <c r="M996" s="104"/>
      <c r="P996" s="79"/>
      <c r="S996" s="79"/>
      <c r="V996" s="79"/>
    </row>
    <row r="997" spans="7:22" x14ac:dyDescent="0.2">
      <c r="G997" s="79"/>
      <c r="J997" s="79"/>
      <c r="M997" s="104"/>
      <c r="P997" s="79"/>
      <c r="S997" s="79"/>
      <c r="V997" s="79"/>
    </row>
    <row r="998" spans="7:22" x14ac:dyDescent="0.2">
      <c r="G998" s="79"/>
      <c r="J998" s="79"/>
      <c r="M998" s="104"/>
      <c r="P998" s="79"/>
      <c r="S998" s="79"/>
      <c r="V998" s="79"/>
    </row>
    <row r="999" spans="7:22" x14ac:dyDescent="0.2">
      <c r="G999" s="79"/>
      <c r="J999" s="79"/>
      <c r="M999" s="104"/>
      <c r="P999" s="79"/>
      <c r="S999" s="79"/>
      <c r="V999" s="79"/>
    </row>
    <row r="1000" spans="7:22" x14ac:dyDescent="0.2">
      <c r="G1000" s="79"/>
      <c r="J1000" s="79"/>
      <c r="M1000" s="104"/>
      <c r="P1000" s="79"/>
      <c r="S1000" s="79"/>
      <c r="V1000" s="79"/>
    </row>
    <row r="1001" spans="7:22" x14ac:dyDescent="0.2">
      <c r="G1001" s="79"/>
      <c r="J1001" s="79"/>
      <c r="M1001" s="104"/>
      <c r="P1001" s="79"/>
      <c r="S1001" s="79"/>
      <c r="V1001" s="79"/>
    </row>
    <row r="1002" spans="7:22" x14ac:dyDescent="0.2">
      <c r="G1002" s="79"/>
      <c r="J1002" s="79"/>
      <c r="M1002" s="104"/>
      <c r="P1002" s="79"/>
      <c r="S1002" s="79"/>
      <c r="V1002" s="79"/>
    </row>
    <row r="1003" spans="7:22" x14ac:dyDescent="0.2">
      <c r="G1003" s="79"/>
      <c r="J1003" s="79"/>
      <c r="M1003" s="104"/>
      <c r="P1003" s="79"/>
      <c r="S1003" s="79"/>
      <c r="V1003" s="79"/>
    </row>
    <row r="1004" spans="7:22" x14ac:dyDescent="0.2">
      <c r="G1004" s="79"/>
      <c r="J1004" s="79"/>
      <c r="M1004" s="104"/>
      <c r="P1004" s="79"/>
      <c r="S1004" s="79"/>
      <c r="V1004" s="79"/>
    </row>
    <row r="1005" spans="7:22" x14ac:dyDescent="0.2">
      <c r="G1005" s="79"/>
      <c r="J1005" s="79"/>
      <c r="M1005" s="104"/>
      <c r="P1005" s="79"/>
      <c r="S1005" s="79"/>
      <c r="V1005" s="79"/>
    </row>
    <row r="1006" spans="7:22" x14ac:dyDescent="0.2">
      <c r="G1006" s="79"/>
      <c r="J1006" s="79"/>
      <c r="M1006" s="104"/>
      <c r="P1006" s="79"/>
      <c r="S1006" s="79"/>
      <c r="V1006" s="79"/>
    </row>
    <row r="1007" spans="7:22" x14ac:dyDescent="0.2">
      <c r="G1007" s="79"/>
      <c r="J1007" s="79"/>
      <c r="M1007" s="104"/>
      <c r="P1007" s="79"/>
      <c r="S1007" s="79"/>
      <c r="V1007" s="79"/>
    </row>
    <row r="1008" spans="7:22" x14ac:dyDescent="0.2">
      <c r="G1008" s="79"/>
      <c r="J1008" s="79"/>
      <c r="M1008" s="104"/>
      <c r="P1008" s="79"/>
      <c r="S1008" s="79"/>
      <c r="V1008" s="79"/>
    </row>
    <row r="1009" spans="7:22" x14ac:dyDescent="0.2">
      <c r="G1009" s="79"/>
      <c r="J1009" s="79"/>
      <c r="M1009" s="104"/>
      <c r="P1009" s="79"/>
      <c r="S1009" s="79"/>
      <c r="V1009" s="79"/>
    </row>
    <row r="1010" spans="7:22" x14ac:dyDescent="0.2">
      <c r="G1010" s="79"/>
      <c r="J1010" s="79"/>
      <c r="M1010" s="104"/>
      <c r="P1010" s="79"/>
      <c r="S1010" s="79"/>
      <c r="V1010" s="79"/>
    </row>
    <row r="1011" spans="7:22" x14ac:dyDescent="0.2">
      <c r="G1011" s="79"/>
      <c r="J1011" s="79"/>
      <c r="M1011" s="104"/>
      <c r="P1011" s="79"/>
      <c r="S1011" s="79"/>
      <c r="V1011" s="79"/>
    </row>
    <row r="1012" spans="7:22" x14ac:dyDescent="0.2">
      <c r="G1012" s="79"/>
      <c r="J1012" s="79"/>
      <c r="M1012" s="104"/>
      <c r="P1012" s="79"/>
      <c r="S1012" s="79"/>
      <c r="V1012" s="79"/>
    </row>
    <row r="1013" spans="7:22" x14ac:dyDescent="0.2">
      <c r="G1013" s="79"/>
      <c r="J1013" s="79"/>
      <c r="M1013" s="104"/>
      <c r="P1013" s="79"/>
      <c r="S1013" s="79"/>
      <c r="V1013" s="79"/>
    </row>
    <row r="1014" spans="7:22" x14ac:dyDescent="0.2">
      <c r="G1014" s="79"/>
      <c r="J1014" s="79"/>
      <c r="M1014" s="104"/>
      <c r="P1014" s="79"/>
      <c r="S1014" s="79"/>
      <c r="V1014" s="79"/>
    </row>
    <row r="1015" spans="7:22" x14ac:dyDescent="0.2">
      <c r="G1015" s="79"/>
      <c r="J1015" s="79"/>
      <c r="M1015" s="104"/>
      <c r="P1015" s="79"/>
      <c r="S1015" s="79"/>
      <c r="V1015" s="79"/>
    </row>
    <row r="1016" spans="7:22" x14ac:dyDescent="0.2">
      <c r="G1016" s="79"/>
      <c r="J1016" s="79"/>
      <c r="M1016" s="104"/>
      <c r="P1016" s="79"/>
      <c r="S1016" s="79"/>
      <c r="V1016" s="79"/>
    </row>
    <row r="1017" spans="7:22" x14ac:dyDescent="0.2">
      <c r="G1017" s="79"/>
      <c r="J1017" s="79"/>
      <c r="M1017" s="104"/>
      <c r="P1017" s="79"/>
      <c r="S1017" s="79"/>
      <c r="V1017" s="79"/>
    </row>
    <row r="1018" spans="7:22" x14ac:dyDescent="0.2">
      <c r="G1018" s="79"/>
      <c r="J1018" s="79"/>
      <c r="M1018" s="104"/>
      <c r="P1018" s="79"/>
      <c r="S1018" s="79"/>
      <c r="V1018" s="79"/>
    </row>
    <row r="1019" spans="7:22" x14ac:dyDescent="0.2">
      <c r="G1019" s="79"/>
      <c r="J1019" s="79"/>
      <c r="M1019" s="104"/>
      <c r="P1019" s="79"/>
      <c r="S1019" s="79"/>
      <c r="V1019" s="79"/>
    </row>
    <row r="1020" spans="7:22" x14ac:dyDescent="0.2">
      <c r="G1020" s="79"/>
      <c r="J1020" s="79"/>
      <c r="M1020" s="104"/>
      <c r="P1020" s="79"/>
      <c r="S1020" s="79"/>
      <c r="V1020" s="79"/>
    </row>
    <row r="1021" spans="7:22" x14ac:dyDescent="0.2">
      <c r="G1021" s="79"/>
      <c r="J1021" s="79"/>
      <c r="M1021" s="104"/>
      <c r="P1021" s="79"/>
      <c r="S1021" s="79"/>
      <c r="V1021" s="79"/>
    </row>
    <row r="1022" spans="7:22" x14ac:dyDescent="0.2">
      <c r="G1022" s="79"/>
      <c r="J1022" s="79"/>
      <c r="M1022" s="104"/>
      <c r="P1022" s="79"/>
      <c r="S1022" s="79"/>
      <c r="V1022" s="79"/>
    </row>
    <row r="1023" spans="7:22" x14ac:dyDescent="0.2">
      <c r="G1023" s="79"/>
      <c r="J1023" s="79"/>
      <c r="M1023" s="104"/>
      <c r="P1023" s="79"/>
      <c r="S1023" s="79"/>
      <c r="V1023" s="79"/>
    </row>
    <row r="1024" spans="7:22" x14ac:dyDescent="0.2">
      <c r="G1024" s="79"/>
      <c r="J1024" s="79"/>
      <c r="M1024" s="104"/>
      <c r="P1024" s="79"/>
      <c r="S1024" s="79"/>
      <c r="V1024" s="79"/>
    </row>
    <row r="1025" spans="7:22" x14ac:dyDescent="0.2">
      <c r="G1025" s="79"/>
      <c r="J1025" s="79"/>
      <c r="M1025" s="104"/>
      <c r="P1025" s="79"/>
      <c r="S1025" s="79"/>
      <c r="V1025" s="79"/>
    </row>
    <row r="1026" spans="7:22" x14ac:dyDescent="0.2">
      <c r="G1026" s="79"/>
      <c r="J1026" s="79"/>
      <c r="M1026" s="104"/>
      <c r="P1026" s="79"/>
      <c r="S1026" s="79"/>
      <c r="V1026" s="79"/>
    </row>
    <row r="1027" spans="7:22" x14ac:dyDescent="0.2">
      <c r="G1027" s="79"/>
      <c r="J1027" s="79"/>
      <c r="M1027" s="104"/>
      <c r="P1027" s="79"/>
      <c r="S1027" s="79"/>
      <c r="V1027" s="79"/>
    </row>
    <row r="1028" spans="7:22" x14ac:dyDescent="0.2">
      <c r="G1028" s="79"/>
      <c r="J1028" s="79"/>
      <c r="M1028" s="104"/>
      <c r="P1028" s="79"/>
      <c r="S1028" s="79"/>
      <c r="V1028" s="79"/>
    </row>
    <row r="1029" spans="7:22" x14ac:dyDescent="0.2">
      <c r="G1029" s="79"/>
      <c r="J1029" s="79"/>
      <c r="M1029" s="104"/>
      <c r="P1029" s="79"/>
      <c r="S1029" s="79"/>
      <c r="V1029" s="79"/>
    </row>
    <row r="1030" spans="7:22" x14ac:dyDescent="0.2">
      <c r="G1030" s="79"/>
      <c r="J1030" s="79"/>
      <c r="M1030" s="104"/>
      <c r="P1030" s="79"/>
      <c r="S1030" s="79"/>
      <c r="V1030" s="79"/>
    </row>
    <row r="1031" spans="7:22" x14ac:dyDescent="0.2">
      <c r="G1031" s="79"/>
      <c r="J1031" s="79"/>
      <c r="M1031" s="104"/>
      <c r="P1031" s="79"/>
      <c r="S1031" s="79"/>
      <c r="V1031" s="79"/>
    </row>
    <row r="1032" spans="7:22" x14ac:dyDescent="0.2">
      <c r="G1032" s="79"/>
      <c r="J1032" s="79"/>
      <c r="M1032" s="104"/>
      <c r="P1032" s="79"/>
      <c r="S1032" s="79"/>
      <c r="V1032" s="79"/>
    </row>
    <row r="1033" spans="7:22" x14ac:dyDescent="0.2">
      <c r="G1033" s="79"/>
      <c r="J1033" s="79"/>
      <c r="M1033" s="104"/>
      <c r="P1033" s="79"/>
      <c r="S1033" s="79"/>
      <c r="V1033" s="79"/>
    </row>
    <row r="1034" spans="7:22" x14ac:dyDescent="0.2">
      <c r="G1034" s="79"/>
      <c r="J1034" s="79"/>
      <c r="M1034" s="104"/>
      <c r="P1034" s="79"/>
      <c r="S1034" s="79"/>
      <c r="V1034" s="79"/>
    </row>
    <row r="1035" spans="7:22" x14ac:dyDescent="0.2">
      <c r="G1035" s="79"/>
      <c r="J1035" s="79"/>
      <c r="M1035" s="104"/>
      <c r="P1035" s="79"/>
      <c r="S1035" s="79"/>
      <c r="V1035" s="79"/>
    </row>
    <row r="1036" spans="7:22" x14ac:dyDescent="0.2">
      <c r="G1036" s="79"/>
      <c r="J1036" s="79"/>
      <c r="M1036" s="104"/>
      <c r="P1036" s="79"/>
      <c r="S1036" s="79"/>
      <c r="V1036" s="79"/>
    </row>
    <row r="1037" spans="7:22" x14ac:dyDescent="0.2">
      <c r="G1037" s="79"/>
      <c r="J1037" s="79"/>
      <c r="M1037" s="104"/>
      <c r="P1037" s="79"/>
      <c r="S1037" s="79"/>
      <c r="V1037" s="79"/>
    </row>
    <row r="1038" spans="7:22" x14ac:dyDescent="0.2">
      <c r="G1038" s="79"/>
      <c r="J1038" s="79"/>
      <c r="M1038" s="104"/>
      <c r="P1038" s="79"/>
      <c r="S1038" s="79"/>
      <c r="V1038" s="79"/>
    </row>
    <row r="1039" spans="7:22" x14ac:dyDescent="0.2">
      <c r="G1039" s="79"/>
      <c r="J1039" s="79"/>
      <c r="M1039" s="104"/>
      <c r="P1039" s="79"/>
      <c r="S1039" s="79"/>
      <c r="V1039" s="79"/>
    </row>
    <row r="1040" spans="7:22" x14ac:dyDescent="0.2">
      <c r="G1040" s="79"/>
      <c r="J1040" s="79"/>
      <c r="M1040" s="104"/>
      <c r="P1040" s="79"/>
      <c r="S1040" s="79"/>
      <c r="V1040" s="79"/>
    </row>
    <row r="1041" spans="7:22" x14ac:dyDescent="0.2">
      <c r="G1041" s="79"/>
      <c r="J1041" s="79"/>
      <c r="M1041" s="104"/>
      <c r="P1041" s="79"/>
      <c r="S1041" s="79"/>
      <c r="V1041" s="79"/>
    </row>
    <row r="1042" spans="7:22" x14ac:dyDescent="0.2">
      <c r="G1042" s="79"/>
      <c r="J1042" s="79"/>
      <c r="M1042" s="104"/>
      <c r="P1042" s="79"/>
      <c r="S1042" s="79"/>
      <c r="V1042" s="79"/>
    </row>
    <row r="1043" spans="7:22" x14ac:dyDescent="0.2">
      <c r="G1043" s="79"/>
      <c r="J1043" s="79"/>
      <c r="M1043" s="104"/>
      <c r="P1043" s="79"/>
      <c r="S1043" s="79"/>
      <c r="V1043" s="79"/>
    </row>
    <row r="1044" spans="7:22" x14ac:dyDescent="0.2">
      <c r="G1044" s="79"/>
      <c r="J1044" s="79"/>
      <c r="M1044" s="104"/>
      <c r="P1044" s="79"/>
      <c r="S1044" s="79"/>
      <c r="V1044" s="79"/>
    </row>
    <row r="1045" spans="7:22" x14ac:dyDescent="0.2">
      <c r="G1045" s="79"/>
      <c r="J1045" s="79"/>
      <c r="M1045" s="104"/>
      <c r="P1045" s="79"/>
      <c r="S1045" s="79"/>
      <c r="V1045" s="79"/>
    </row>
    <row r="1046" spans="7:22" x14ac:dyDescent="0.2">
      <c r="G1046" s="79"/>
      <c r="J1046" s="79"/>
      <c r="M1046" s="104"/>
      <c r="P1046" s="79"/>
      <c r="S1046" s="79"/>
      <c r="V1046" s="79"/>
    </row>
    <row r="1047" spans="7:22" x14ac:dyDescent="0.2">
      <c r="G1047" s="79"/>
      <c r="J1047" s="79"/>
      <c r="M1047" s="104"/>
      <c r="P1047" s="79"/>
      <c r="S1047" s="79"/>
      <c r="V1047" s="79"/>
    </row>
    <row r="1048" spans="7:22" x14ac:dyDescent="0.2">
      <c r="G1048" s="79"/>
      <c r="J1048" s="79"/>
      <c r="M1048" s="104"/>
      <c r="P1048" s="79"/>
      <c r="S1048" s="79"/>
      <c r="V1048" s="79"/>
    </row>
    <row r="1049" spans="7:22" x14ac:dyDescent="0.2">
      <c r="G1049" s="79"/>
      <c r="J1049" s="79"/>
      <c r="M1049" s="104"/>
      <c r="P1049" s="79"/>
      <c r="S1049" s="79"/>
      <c r="V1049" s="79"/>
    </row>
    <row r="1050" spans="7:22" x14ac:dyDescent="0.2">
      <c r="G1050" s="79"/>
      <c r="J1050" s="79"/>
      <c r="M1050" s="104"/>
      <c r="P1050" s="79"/>
      <c r="S1050" s="79"/>
      <c r="V1050" s="79"/>
    </row>
    <row r="1051" spans="7:22" x14ac:dyDescent="0.2">
      <c r="G1051" s="79"/>
      <c r="J1051" s="79"/>
      <c r="M1051" s="104"/>
      <c r="P1051" s="79"/>
      <c r="S1051" s="79"/>
      <c r="V1051" s="79"/>
    </row>
    <row r="1052" spans="7:22" x14ac:dyDescent="0.2">
      <c r="G1052" s="79"/>
      <c r="J1052" s="79"/>
      <c r="M1052" s="104"/>
      <c r="P1052" s="79"/>
      <c r="S1052" s="79"/>
      <c r="V1052" s="79"/>
    </row>
    <row r="1053" spans="7:22" x14ac:dyDescent="0.2">
      <c r="G1053" s="79"/>
      <c r="J1053" s="79"/>
      <c r="M1053" s="104"/>
      <c r="P1053" s="79"/>
      <c r="S1053" s="79"/>
      <c r="V1053" s="79"/>
    </row>
    <row r="1054" spans="7:22" x14ac:dyDescent="0.2">
      <c r="G1054" s="79"/>
      <c r="J1054" s="79"/>
      <c r="M1054" s="104"/>
      <c r="P1054" s="79"/>
      <c r="S1054" s="79"/>
      <c r="V1054" s="79"/>
    </row>
    <row r="1055" spans="7:22" x14ac:dyDescent="0.2">
      <c r="G1055" s="79"/>
      <c r="J1055" s="79"/>
      <c r="M1055" s="104"/>
      <c r="P1055" s="79"/>
      <c r="S1055" s="79"/>
      <c r="V1055" s="79"/>
    </row>
    <row r="1056" spans="7:22" x14ac:dyDescent="0.2">
      <c r="G1056" s="79"/>
      <c r="J1056" s="79"/>
      <c r="M1056" s="104"/>
      <c r="P1056" s="79"/>
      <c r="S1056" s="79"/>
      <c r="V1056" s="79"/>
    </row>
    <row r="1057" spans="7:22" x14ac:dyDescent="0.2">
      <c r="G1057" s="79"/>
      <c r="J1057" s="79"/>
      <c r="M1057" s="104"/>
      <c r="P1057" s="79"/>
      <c r="S1057" s="79"/>
      <c r="V1057" s="79"/>
    </row>
    <row r="1058" spans="7:22" x14ac:dyDescent="0.2">
      <c r="G1058" s="79"/>
      <c r="J1058" s="79"/>
      <c r="M1058" s="104"/>
      <c r="P1058" s="79"/>
      <c r="S1058" s="79"/>
      <c r="V1058" s="79"/>
    </row>
    <row r="1059" spans="7:22" x14ac:dyDescent="0.2">
      <c r="G1059" s="79"/>
      <c r="J1059" s="79"/>
      <c r="M1059" s="104"/>
      <c r="P1059" s="79"/>
      <c r="S1059" s="79"/>
      <c r="V1059" s="79"/>
    </row>
    <row r="1060" spans="7:22" x14ac:dyDescent="0.2">
      <c r="G1060" s="79"/>
      <c r="J1060" s="79"/>
      <c r="M1060" s="104"/>
      <c r="P1060" s="79"/>
      <c r="S1060" s="79"/>
      <c r="V1060" s="79"/>
    </row>
    <row r="1061" spans="7:22" x14ac:dyDescent="0.2">
      <c r="G1061" s="79"/>
      <c r="J1061" s="79"/>
      <c r="M1061" s="104"/>
      <c r="P1061" s="79"/>
      <c r="S1061" s="79"/>
      <c r="V1061" s="79"/>
    </row>
    <row r="1062" spans="7:22" x14ac:dyDescent="0.2">
      <c r="G1062" s="79"/>
      <c r="J1062" s="79"/>
      <c r="M1062" s="104"/>
      <c r="P1062" s="79"/>
      <c r="S1062" s="79"/>
      <c r="V1062" s="79"/>
    </row>
    <row r="1063" spans="7:22" x14ac:dyDescent="0.2">
      <c r="G1063" s="79"/>
      <c r="J1063" s="79"/>
      <c r="M1063" s="104"/>
      <c r="P1063" s="79"/>
      <c r="S1063" s="79"/>
      <c r="V1063" s="79"/>
    </row>
    <row r="1064" spans="7:22" x14ac:dyDescent="0.2">
      <c r="G1064" s="79"/>
      <c r="J1064" s="79"/>
      <c r="M1064" s="104"/>
      <c r="P1064" s="79"/>
      <c r="S1064" s="79"/>
      <c r="V1064" s="79"/>
    </row>
    <row r="1065" spans="7:22" x14ac:dyDescent="0.2">
      <c r="G1065" s="79"/>
      <c r="J1065" s="79"/>
      <c r="M1065" s="104"/>
      <c r="P1065" s="79"/>
      <c r="S1065" s="79"/>
      <c r="V1065" s="79"/>
    </row>
    <row r="1066" spans="7:22" x14ac:dyDescent="0.2">
      <c r="G1066" s="79"/>
      <c r="J1066" s="79"/>
      <c r="M1066" s="104"/>
      <c r="P1066" s="79"/>
      <c r="S1066" s="79"/>
      <c r="V1066" s="79"/>
    </row>
    <row r="1067" spans="7:22" x14ac:dyDescent="0.2">
      <c r="G1067" s="79"/>
      <c r="J1067" s="79"/>
      <c r="M1067" s="104"/>
      <c r="P1067" s="79"/>
      <c r="S1067" s="79"/>
      <c r="V1067" s="79"/>
    </row>
    <row r="1068" spans="7:22" x14ac:dyDescent="0.2">
      <c r="G1068" s="79"/>
      <c r="J1068" s="79"/>
      <c r="M1068" s="104"/>
      <c r="P1068" s="79"/>
      <c r="S1068" s="79"/>
      <c r="V1068" s="79"/>
    </row>
    <row r="1069" spans="7:22" x14ac:dyDescent="0.2">
      <c r="G1069" s="79"/>
      <c r="J1069" s="79"/>
      <c r="M1069" s="104"/>
      <c r="P1069" s="79"/>
      <c r="S1069" s="79"/>
      <c r="V1069" s="79"/>
    </row>
    <row r="1070" spans="7:22" x14ac:dyDescent="0.2">
      <c r="G1070" s="79"/>
      <c r="J1070" s="79"/>
      <c r="M1070" s="104"/>
      <c r="P1070" s="79"/>
      <c r="S1070" s="79"/>
      <c r="V1070" s="79"/>
    </row>
    <row r="1071" spans="7:22" x14ac:dyDescent="0.2">
      <c r="G1071" s="79"/>
      <c r="J1071" s="79"/>
      <c r="M1071" s="104"/>
      <c r="P1071" s="79"/>
      <c r="S1071" s="79"/>
      <c r="V1071" s="79"/>
    </row>
    <row r="1072" spans="7:22" x14ac:dyDescent="0.2">
      <c r="G1072" s="79"/>
      <c r="J1072" s="79"/>
      <c r="M1072" s="104"/>
      <c r="P1072" s="79"/>
      <c r="S1072" s="79"/>
      <c r="V1072" s="79"/>
    </row>
    <row r="1073" spans="7:22" x14ac:dyDescent="0.2">
      <c r="G1073" s="79"/>
      <c r="J1073" s="79"/>
      <c r="M1073" s="104"/>
      <c r="P1073" s="79"/>
      <c r="S1073" s="79"/>
      <c r="V1073" s="79"/>
    </row>
    <row r="1074" spans="7:22" x14ac:dyDescent="0.2">
      <c r="G1074" s="79"/>
      <c r="J1074" s="79"/>
      <c r="M1074" s="104"/>
      <c r="P1074" s="79"/>
      <c r="S1074" s="79"/>
      <c r="V1074" s="79"/>
    </row>
    <row r="1075" spans="7:22" x14ac:dyDescent="0.2">
      <c r="G1075" s="79"/>
      <c r="J1075" s="79"/>
      <c r="M1075" s="104"/>
      <c r="P1075" s="79"/>
      <c r="S1075" s="79"/>
      <c r="V1075" s="79"/>
    </row>
    <row r="1076" spans="7:22" x14ac:dyDescent="0.2">
      <c r="G1076" s="79"/>
      <c r="J1076" s="79"/>
      <c r="M1076" s="104"/>
      <c r="P1076" s="79"/>
      <c r="S1076" s="79"/>
      <c r="V1076" s="79"/>
    </row>
    <row r="1077" spans="7:22" x14ac:dyDescent="0.2">
      <c r="G1077" s="79"/>
      <c r="J1077" s="79"/>
      <c r="M1077" s="104"/>
      <c r="P1077" s="79"/>
      <c r="S1077" s="79"/>
      <c r="V1077" s="79"/>
    </row>
    <row r="1078" spans="7:22" x14ac:dyDescent="0.2">
      <c r="G1078" s="79"/>
      <c r="J1078" s="79"/>
      <c r="M1078" s="104"/>
      <c r="P1078" s="79"/>
      <c r="S1078" s="79"/>
      <c r="V1078" s="79"/>
    </row>
    <row r="1079" spans="7:22" x14ac:dyDescent="0.2">
      <c r="G1079" s="79"/>
      <c r="J1079" s="79"/>
      <c r="M1079" s="104"/>
      <c r="P1079" s="79"/>
      <c r="S1079" s="79"/>
      <c r="V1079" s="79"/>
    </row>
    <row r="1080" spans="7:22" x14ac:dyDescent="0.2">
      <c r="G1080" s="79"/>
      <c r="J1080" s="79"/>
      <c r="M1080" s="104"/>
      <c r="P1080" s="79"/>
      <c r="S1080" s="79"/>
      <c r="V1080" s="79"/>
    </row>
    <row r="1081" spans="7:22" x14ac:dyDescent="0.2">
      <c r="G1081" s="79"/>
      <c r="J1081" s="79"/>
      <c r="M1081" s="104"/>
      <c r="P1081" s="79"/>
      <c r="S1081" s="79"/>
      <c r="V1081" s="79"/>
    </row>
    <row r="1082" spans="7:22" x14ac:dyDescent="0.2">
      <c r="G1082" s="79"/>
      <c r="J1082" s="79"/>
      <c r="M1082" s="104"/>
      <c r="P1082" s="79"/>
      <c r="S1082" s="79"/>
      <c r="V1082" s="79"/>
    </row>
    <row r="1083" spans="7:22" x14ac:dyDescent="0.2">
      <c r="G1083" s="79"/>
      <c r="J1083" s="79"/>
      <c r="M1083" s="104"/>
      <c r="P1083" s="79"/>
      <c r="S1083" s="79"/>
      <c r="V1083" s="79"/>
    </row>
    <row r="1084" spans="7:22" x14ac:dyDescent="0.2">
      <c r="G1084" s="79"/>
      <c r="J1084" s="79"/>
      <c r="M1084" s="104"/>
      <c r="P1084" s="79"/>
      <c r="S1084" s="79"/>
      <c r="V1084" s="79"/>
    </row>
    <row r="1085" spans="7:22" x14ac:dyDescent="0.2">
      <c r="G1085" s="79"/>
      <c r="J1085" s="79"/>
      <c r="M1085" s="104"/>
      <c r="P1085" s="79"/>
      <c r="S1085" s="79"/>
      <c r="V1085" s="79"/>
    </row>
    <row r="1086" spans="7:22" x14ac:dyDescent="0.2">
      <c r="G1086" s="79"/>
      <c r="J1086" s="79"/>
      <c r="M1086" s="104"/>
      <c r="P1086" s="79"/>
      <c r="S1086" s="79"/>
      <c r="V1086" s="79"/>
    </row>
    <row r="1087" spans="7:22" x14ac:dyDescent="0.2">
      <c r="G1087" s="79"/>
      <c r="J1087" s="79"/>
      <c r="M1087" s="104"/>
      <c r="P1087" s="79"/>
      <c r="S1087" s="79"/>
      <c r="V1087" s="79"/>
    </row>
    <row r="1088" spans="7:22" x14ac:dyDescent="0.2">
      <c r="G1088" s="79"/>
      <c r="J1088" s="79"/>
      <c r="M1088" s="104"/>
      <c r="P1088" s="79"/>
      <c r="S1088" s="79"/>
      <c r="V1088" s="79"/>
    </row>
    <row r="1089" spans="7:22" x14ac:dyDescent="0.2">
      <c r="G1089" s="79"/>
      <c r="J1089" s="79"/>
      <c r="M1089" s="104"/>
      <c r="P1089" s="79"/>
      <c r="S1089" s="79"/>
      <c r="V1089" s="79"/>
    </row>
    <row r="1090" spans="7:22" x14ac:dyDescent="0.2">
      <c r="G1090" s="79"/>
      <c r="J1090" s="79"/>
      <c r="M1090" s="104"/>
      <c r="P1090" s="79"/>
      <c r="S1090" s="79"/>
      <c r="V1090" s="79"/>
    </row>
    <row r="1091" spans="7:22" x14ac:dyDescent="0.2">
      <c r="G1091" s="79"/>
      <c r="J1091" s="79"/>
      <c r="M1091" s="104"/>
      <c r="P1091" s="79"/>
      <c r="S1091" s="79"/>
      <c r="V1091" s="79"/>
    </row>
    <row r="1092" spans="7:22" x14ac:dyDescent="0.2">
      <c r="G1092" s="79"/>
      <c r="J1092" s="79"/>
      <c r="M1092" s="104"/>
      <c r="P1092" s="79"/>
      <c r="S1092" s="79"/>
      <c r="V1092" s="79"/>
    </row>
    <row r="1093" spans="7:22" x14ac:dyDescent="0.2">
      <c r="G1093" s="79"/>
      <c r="J1093" s="79"/>
      <c r="M1093" s="104"/>
      <c r="P1093" s="79"/>
      <c r="S1093" s="79"/>
      <c r="V1093" s="79"/>
    </row>
    <row r="1094" spans="7:22" x14ac:dyDescent="0.2">
      <c r="G1094" s="79"/>
      <c r="J1094" s="79"/>
      <c r="M1094" s="104"/>
      <c r="P1094" s="79"/>
      <c r="S1094" s="79"/>
      <c r="V1094" s="79"/>
    </row>
    <row r="1095" spans="7:22" x14ac:dyDescent="0.2">
      <c r="G1095" s="79"/>
      <c r="J1095" s="79"/>
      <c r="M1095" s="104"/>
      <c r="P1095" s="79"/>
      <c r="S1095" s="79"/>
      <c r="V1095" s="79"/>
    </row>
    <row r="1096" spans="7:22" x14ac:dyDescent="0.2">
      <c r="G1096" s="79"/>
      <c r="J1096" s="79"/>
      <c r="M1096" s="104"/>
      <c r="P1096" s="79"/>
      <c r="S1096" s="79"/>
      <c r="V1096" s="79"/>
    </row>
    <row r="1097" spans="7:22" x14ac:dyDescent="0.2">
      <c r="G1097" s="79"/>
      <c r="J1097" s="79"/>
      <c r="M1097" s="104"/>
      <c r="P1097" s="79"/>
      <c r="S1097" s="79"/>
      <c r="V1097" s="79"/>
    </row>
    <row r="1098" spans="7:22" x14ac:dyDescent="0.2">
      <c r="G1098" s="79"/>
      <c r="J1098" s="79"/>
      <c r="M1098" s="104"/>
      <c r="P1098" s="79"/>
      <c r="S1098" s="79"/>
      <c r="V1098" s="79"/>
    </row>
    <row r="1099" spans="7:22" x14ac:dyDescent="0.2">
      <c r="G1099" s="79"/>
      <c r="J1099" s="79"/>
      <c r="M1099" s="104"/>
      <c r="P1099" s="79"/>
      <c r="S1099" s="79"/>
      <c r="V1099" s="79"/>
    </row>
    <row r="1100" spans="7:22" x14ac:dyDescent="0.2">
      <c r="G1100" s="79"/>
      <c r="J1100" s="79"/>
      <c r="M1100" s="104"/>
      <c r="P1100" s="79"/>
      <c r="S1100" s="79"/>
      <c r="V1100" s="79"/>
    </row>
    <row r="1101" spans="7:22" x14ac:dyDescent="0.2">
      <c r="G1101" s="79"/>
      <c r="J1101" s="79"/>
      <c r="M1101" s="104"/>
      <c r="P1101" s="79"/>
      <c r="S1101" s="79"/>
      <c r="V1101" s="79"/>
    </row>
    <row r="1102" spans="7:22" x14ac:dyDescent="0.2">
      <c r="G1102" s="79"/>
      <c r="J1102" s="79"/>
      <c r="M1102" s="104"/>
      <c r="P1102" s="79"/>
      <c r="S1102" s="79"/>
      <c r="V1102" s="79"/>
    </row>
    <row r="1103" spans="7:22" x14ac:dyDescent="0.2">
      <c r="G1103" s="79"/>
      <c r="J1103" s="79"/>
      <c r="M1103" s="104"/>
      <c r="P1103" s="79"/>
      <c r="S1103" s="79"/>
      <c r="V1103" s="79"/>
    </row>
    <row r="1104" spans="7:22" x14ac:dyDescent="0.2">
      <c r="G1104" s="79"/>
      <c r="J1104" s="79"/>
      <c r="M1104" s="104"/>
      <c r="P1104" s="79"/>
      <c r="S1104" s="79"/>
      <c r="V1104" s="79"/>
    </row>
    <row r="1105" spans="7:22" x14ac:dyDescent="0.2">
      <c r="G1105" s="79"/>
      <c r="J1105" s="79"/>
      <c r="M1105" s="104"/>
      <c r="P1105" s="79"/>
      <c r="S1105" s="79"/>
      <c r="V1105" s="79"/>
    </row>
    <row r="1106" spans="7:22" x14ac:dyDescent="0.2">
      <c r="G1106" s="79"/>
      <c r="J1106" s="79"/>
      <c r="M1106" s="104"/>
      <c r="P1106" s="79"/>
      <c r="S1106" s="79"/>
      <c r="V1106" s="79"/>
    </row>
    <row r="1107" spans="7:22" x14ac:dyDescent="0.2">
      <c r="G1107" s="79"/>
      <c r="J1107" s="79"/>
      <c r="M1107" s="104"/>
      <c r="P1107" s="79"/>
      <c r="S1107" s="79"/>
      <c r="V1107" s="79"/>
    </row>
    <row r="1108" spans="7:22" x14ac:dyDescent="0.2">
      <c r="G1108" s="79"/>
      <c r="J1108" s="79"/>
      <c r="M1108" s="104"/>
      <c r="P1108" s="79"/>
      <c r="S1108" s="79"/>
      <c r="V1108" s="79"/>
    </row>
    <row r="1109" spans="7:22" x14ac:dyDescent="0.2">
      <c r="G1109" s="79"/>
      <c r="J1109" s="79"/>
      <c r="M1109" s="104"/>
      <c r="P1109" s="79"/>
      <c r="S1109" s="79"/>
      <c r="V1109" s="79"/>
    </row>
    <row r="1110" spans="7:22" x14ac:dyDescent="0.2">
      <c r="G1110" s="79"/>
      <c r="J1110" s="79"/>
      <c r="M1110" s="104"/>
      <c r="P1110" s="79"/>
      <c r="S1110" s="79"/>
      <c r="V1110" s="79"/>
    </row>
    <row r="1111" spans="7:22" x14ac:dyDescent="0.2">
      <c r="G1111" s="79"/>
      <c r="J1111" s="79"/>
      <c r="M1111" s="104"/>
      <c r="P1111" s="79"/>
      <c r="S1111" s="79"/>
      <c r="V1111" s="79"/>
    </row>
    <row r="1112" spans="7:22" x14ac:dyDescent="0.2">
      <c r="G1112" s="79"/>
      <c r="J1112" s="79"/>
      <c r="M1112" s="104"/>
      <c r="P1112" s="79"/>
      <c r="S1112" s="79"/>
      <c r="V1112" s="79"/>
    </row>
    <row r="1113" spans="7:22" x14ac:dyDescent="0.2">
      <c r="G1113" s="79"/>
      <c r="J1113" s="79"/>
      <c r="M1113" s="104"/>
      <c r="P1113" s="79"/>
      <c r="S1113" s="79"/>
      <c r="V1113" s="79"/>
    </row>
    <row r="1114" spans="7:22" x14ac:dyDescent="0.2">
      <c r="G1114" s="79"/>
      <c r="J1114" s="79"/>
      <c r="M1114" s="104"/>
      <c r="P1114" s="79"/>
      <c r="S1114" s="79"/>
      <c r="V1114" s="79"/>
    </row>
    <row r="1115" spans="7:22" x14ac:dyDescent="0.2">
      <c r="G1115" s="79"/>
      <c r="J1115" s="79"/>
      <c r="M1115" s="104"/>
      <c r="P1115" s="79"/>
      <c r="S1115" s="79"/>
      <c r="V1115" s="79"/>
    </row>
    <row r="1116" spans="7:22" x14ac:dyDescent="0.2">
      <c r="G1116" s="79"/>
      <c r="J1116" s="79"/>
      <c r="M1116" s="104"/>
      <c r="P1116" s="79"/>
      <c r="S1116" s="79"/>
      <c r="V1116" s="79"/>
    </row>
    <row r="1117" spans="7:22" x14ac:dyDescent="0.2">
      <c r="G1117" s="79"/>
      <c r="J1117" s="79"/>
      <c r="M1117" s="104"/>
      <c r="P1117" s="79"/>
      <c r="S1117" s="79"/>
      <c r="V1117" s="79"/>
    </row>
    <row r="1118" spans="7:22" x14ac:dyDescent="0.2">
      <c r="G1118" s="79"/>
      <c r="J1118" s="79"/>
      <c r="M1118" s="104"/>
      <c r="P1118" s="79"/>
      <c r="S1118" s="79"/>
      <c r="V1118" s="79"/>
    </row>
    <row r="1119" spans="7:22" x14ac:dyDescent="0.2">
      <c r="G1119" s="79"/>
      <c r="J1119" s="79"/>
      <c r="M1119" s="104"/>
      <c r="P1119" s="79"/>
      <c r="S1119" s="79"/>
      <c r="V1119" s="79"/>
    </row>
    <row r="1120" spans="7:22" x14ac:dyDescent="0.2">
      <c r="G1120" s="79"/>
      <c r="J1120" s="79"/>
      <c r="M1120" s="104"/>
      <c r="P1120" s="79"/>
      <c r="S1120" s="79"/>
      <c r="V1120" s="79"/>
    </row>
    <row r="1121" spans="7:22" x14ac:dyDescent="0.2">
      <c r="G1121" s="79"/>
      <c r="J1121" s="79"/>
      <c r="M1121" s="104"/>
      <c r="P1121" s="79"/>
      <c r="S1121" s="79"/>
      <c r="V1121" s="79"/>
    </row>
    <row r="1122" spans="7:22" x14ac:dyDescent="0.2">
      <c r="G1122" s="79"/>
      <c r="J1122" s="79"/>
      <c r="M1122" s="104"/>
      <c r="P1122" s="79"/>
      <c r="S1122" s="79"/>
      <c r="V1122" s="79"/>
    </row>
    <row r="1123" spans="7:22" x14ac:dyDescent="0.2">
      <c r="G1123" s="79"/>
      <c r="J1123" s="79"/>
      <c r="M1123" s="104"/>
      <c r="P1123" s="79"/>
      <c r="S1123" s="79"/>
      <c r="V1123" s="79"/>
    </row>
    <row r="1124" spans="7:22" x14ac:dyDescent="0.2">
      <c r="G1124" s="79"/>
      <c r="J1124" s="79"/>
      <c r="M1124" s="104"/>
      <c r="P1124" s="79"/>
      <c r="S1124" s="79"/>
      <c r="V1124" s="79"/>
    </row>
    <row r="1125" spans="7:22" x14ac:dyDescent="0.2">
      <c r="G1125" s="79"/>
      <c r="J1125" s="79"/>
      <c r="M1125" s="104"/>
      <c r="P1125" s="79"/>
      <c r="S1125" s="79"/>
      <c r="V1125" s="79"/>
    </row>
    <row r="1126" spans="7:22" x14ac:dyDescent="0.2">
      <c r="G1126" s="79"/>
      <c r="J1126" s="79"/>
      <c r="M1126" s="104"/>
      <c r="P1126" s="79"/>
      <c r="S1126" s="79"/>
      <c r="V1126" s="79"/>
    </row>
    <row r="1127" spans="7:22" x14ac:dyDescent="0.2">
      <c r="G1127" s="79"/>
      <c r="J1127" s="79"/>
      <c r="M1127" s="104"/>
      <c r="P1127" s="79"/>
      <c r="S1127" s="79"/>
      <c r="V1127" s="79"/>
    </row>
    <row r="1128" spans="7:22" x14ac:dyDescent="0.2">
      <c r="G1128" s="79"/>
      <c r="J1128" s="79"/>
      <c r="M1128" s="104"/>
      <c r="P1128" s="79"/>
      <c r="S1128" s="79"/>
      <c r="V1128" s="79"/>
    </row>
    <row r="1129" spans="7:22" x14ac:dyDescent="0.2">
      <c r="G1129" s="79"/>
      <c r="J1129" s="79"/>
      <c r="M1129" s="104"/>
      <c r="P1129" s="79"/>
      <c r="S1129" s="79"/>
      <c r="V1129" s="79"/>
    </row>
    <row r="1130" spans="7:22" x14ac:dyDescent="0.2">
      <c r="G1130" s="79"/>
      <c r="J1130" s="79"/>
      <c r="M1130" s="104"/>
      <c r="P1130" s="79"/>
      <c r="S1130" s="79"/>
      <c r="V1130" s="79"/>
    </row>
    <row r="1131" spans="7:22" x14ac:dyDescent="0.2">
      <c r="G1131" s="79"/>
      <c r="J1131" s="79"/>
      <c r="M1131" s="104"/>
      <c r="P1131" s="79"/>
      <c r="S1131" s="79"/>
      <c r="V1131" s="79"/>
    </row>
    <row r="1132" spans="7:22" x14ac:dyDescent="0.2">
      <c r="G1132" s="79"/>
      <c r="J1132" s="79"/>
      <c r="M1132" s="104"/>
      <c r="P1132" s="79"/>
      <c r="S1132" s="79"/>
      <c r="V1132" s="79"/>
    </row>
    <row r="1133" spans="7:22" x14ac:dyDescent="0.2">
      <c r="G1133" s="79"/>
      <c r="J1133" s="79"/>
      <c r="M1133" s="104"/>
      <c r="P1133" s="79"/>
      <c r="S1133" s="79"/>
      <c r="V1133" s="79"/>
    </row>
    <row r="1134" spans="7:22" x14ac:dyDescent="0.2">
      <c r="G1134" s="79"/>
      <c r="J1134" s="79"/>
      <c r="M1134" s="104"/>
      <c r="P1134" s="79"/>
      <c r="S1134" s="79"/>
      <c r="V1134" s="79"/>
    </row>
    <row r="1135" spans="7:22" x14ac:dyDescent="0.2">
      <c r="G1135" s="79"/>
      <c r="J1135" s="79"/>
      <c r="M1135" s="104"/>
      <c r="P1135" s="79"/>
      <c r="S1135" s="79"/>
      <c r="V1135" s="79"/>
    </row>
    <row r="1136" spans="7:22" x14ac:dyDescent="0.2">
      <c r="G1136" s="79"/>
      <c r="J1136" s="79"/>
      <c r="M1136" s="104"/>
      <c r="P1136" s="79"/>
      <c r="S1136" s="79"/>
      <c r="V1136" s="79"/>
    </row>
    <row r="1137" spans="7:22" x14ac:dyDescent="0.2">
      <c r="G1137" s="79"/>
      <c r="J1137" s="79"/>
      <c r="M1137" s="104"/>
      <c r="P1137" s="79"/>
      <c r="S1137" s="79"/>
      <c r="V1137" s="79"/>
    </row>
    <row r="1138" spans="7:22" x14ac:dyDescent="0.2">
      <c r="G1138" s="79"/>
      <c r="J1138" s="79"/>
      <c r="M1138" s="104"/>
      <c r="P1138" s="79"/>
      <c r="S1138" s="79"/>
      <c r="V1138" s="79"/>
    </row>
    <row r="1139" spans="7:22" x14ac:dyDescent="0.2">
      <c r="G1139" s="79"/>
      <c r="J1139" s="79"/>
      <c r="M1139" s="104"/>
      <c r="P1139" s="79"/>
      <c r="S1139" s="79"/>
      <c r="V1139" s="79"/>
    </row>
    <row r="1140" spans="7:22" x14ac:dyDescent="0.2">
      <c r="G1140" s="79"/>
      <c r="J1140" s="79"/>
      <c r="M1140" s="104"/>
      <c r="P1140" s="79"/>
      <c r="S1140" s="79"/>
      <c r="V1140" s="79"/>
    </row>
    <row r="1141" spans="7:22" x14ac:dyDescent="0.2">
      <c r="G1141" s="79"/>
      <c r="J1141" s="79"/>
      <c r="M1141" s="104"/>
      <c r="P1141" s="79"/>
      <c r="S1141" s="79"/>
      <c r="V1141" s="79"/>
    </row>
    <row r="1142" spans="7:22" x14ac:dyDescent="0.2">
      <c r="G1142" s="79"/>
      <c r="J1142" s="79"/>
      <c r="M1142" s="104"/>
      <c r="P1142" s="79"/>
      <c r="S1142" s="79"/>
      <c r="V1142" s="79"/>
    </row>
    <row r="1143" spans="7:22" x14ac:dyDescent="0.2">
      <c r="G1143" s="79"/>
      <c r="J1143" s="79"/>
      <c r="M1143" s="104"/>
      <c r="P1143" s="79"/>
      <c r="S1143" s="79"/>
      <c r="V1143" s="79"/>
    </row>
    <row r="1144" spans="7:22" x14ac:dyDescent="0.2">
      <c r="G1144" s="79"/>
      <c r="J1144" s="79"/>
      <c r="M1144" s="104"/>
      <c r="P1144" s="79"/>
      <c r="S1144" s="79"/>
      <c r="V1144" s="79"/>
    </row>
    <row r="1145" spans="7:22" x14ac:dyDescent="0.2">
      <c r="G1145" s="79"/>
      <c r="J1145" s="79"/>
      <c r="M1145" s="104"/>
      <c r="P1145" s="79"/>
      <c r="S1145" s="79"/>
      <c r="V1145" s="79"/>
    </row>
    <row r="1146" spans="7:22" x14ac:dyDescent="0.2">
      <c r="G1146" s="79"/>
      <c r="J1146" s="79"/>
      <c r="M1146" s="104"/>
      <c r="P1146" s="79"/>
      <c r="S1146" s="79"/>
      <c r="V1146" s="79"/>
    </row>
    <row r="1147" spans="7:22" x14ac:dyDescent="0.2">
      <c r="G1147" s="79"/>
      <c r="J1147" s="79"/>
      <c r="M1147" s="104"/>
      <c r="P1147" s="79"/>
      <c r="S1147" s="79"/>
      <c r="V1147" s="79"/>
    </row>
    <row r="1148" spans="7:22" x14ac:dyDescent="0.2">
      <c r="G1148" s="79"/>
      <c r="J1148" s="79"/>
      <c r="M1148" s="104"/>
      <c r="P1148" s="79"/>
      <c r="S1148" s="79"/>
      <c r="V1148" s="79"/>
    </row>
    <row r="1149" spans="7:22" x14ac:dyDescent="0.2">
      <c r="G1149" s="79"/>
      <c r="J1149" s="79"/>
      <c r="M1149" s="104"/>
      <c r="P1149" s="79"/>
      <c r="S1149" s="79"/>
      <c r="V1149" s="79"/>
    </row>
    <row r="1150" spans="7:22" x14ac:dyDescent="0.2">
      <c r="G1150" s="79"/>
      <c r="J1150" s="79"/>
      <c r="M1150" s="104"/>
      <c r="P1150" s="79"/>
      <c r="S1150" s="79"/>
      <c r="V1150" s="79"/>
    </row>
    <row r="1151" spans="7:22" x14ac:dyDescent="0.2">
      <c r="G1151" s="79"/>
      <c r="J1151" s="79"/>
      <c r="M1151" s="104"/>
      <c r="P1151" s="79"/>
      <c r="S1151" s="79"/>
      <c r="V1151" s="79"/>
    </row>
    <row r="1152" spans="7:22" x14ac:dyDescent="0.2">
      <c r="G1152" s="79"/>
      <c r="J1152" s="79"/>
      <c r="M1152" s="104"/>
      <c r="P1152" s="79"/>
      <c r="S1152" s="79"/>
      <c r="V1152" s="79"/>
    </row>
    <row r="1153" spans="7:22" x14ac:dyDescent="0.2">
      <c r="G1153" s="79"/>
      <c r="J1153" s="79"/>
      <c r="M1153" s="104"/>
      <c r="P1153" s="79"/>
      <c r="S1153" s="79"/>
      <c r="V1153" s="79"/>
    </row>
    <row r="1154" spans="7:22" x14ac:dyDescent="0.2">
      <c r="G1154" s="79"/>
      <c r="J1154" s="79"/>
      <c r="M1154" s="104"/>
      <c r="P1154" s="79"/>
      <c r="S1154" s="79"/>
      <c r="V1154" s="79"/>
    </row>
    <row r="1155" spans="7:22" x14ac:dyDescent="0.2">
      <c r="G1155" s="79"/>
      <c r="J1155" s="79"/>
      <c r="M1155" s="104"/>
      <c r="P1155" s="79"/>
      <c r="S1155" s="79"/>
      <c r="V1155" s="79"/>
    </row>
    <row r="1156" spans="7:22" x14ac:dyDescent="0.2">
      <c r="G1156" s="79"/>
      <c r="J1156" s="79"/>
      <c r="M1156" s="104"/>
      <c r="P1156" s="79"/>
      <c r="S1156" s="79"/>
      <c r="V1156" s="79"/>
    </row>
    <row r="1157" spans="7:22" x14ac:dyDescent="0.2">
      <c r="G1157" s="79"/>
      <c r="J1157" s="79"/>
      <c r="M1157" s="104"/>
      <c r="P1157" s="79"/>
      <c r="S1157" s="79"/>
      <c r="V1157" s="79"/>
    </row>
    <row r="1158" spans="7:22" x14ac:dyDescent="0.2">
      <c r="G1158" s="79"/>
      <c r="J1158" s="79"/>
      <c r="M1158" s="104"/>
      <c r="P1158" s="79"/>
      <c r="S1158" s="79"/>
      <c r="V1158" s="79"/>
    </row>
    <row r="1159" spans="7:22" x14ac:dyDescent="0.2">
      <c r="G1159" s="79"/>
      <c r="J1159" s="79"/>
      <c r="M1159" s="104"/>
      <c r="P1159" s="79"/>
      <c r="S1159" s="79"/>
      <c r="V1159" s="79"/>
    </row>
    <row r="1160" spans="7:22" x14ac:dyDescent="0.2">
      <c r="G1160" s="79"/>
      <c r="J1160" s="79"/>
      <c r="M1160" s="104"/>
      <c r="P1160" s="79"/>
      <c r="S1160" s="79"/>
      <c r="V1160" s="79"/>
    </row>
    <row r="1161" spans="7:22" x14ac:dyDescent="0.2">
      <c r="G1161" s="79"/>
      <c r="J1161" s="79"/>
      <c r="M1161" s="104"/>
      <c r="P1161" s="79"/>
      <c r="S1161" s="79"/>
      <c r="V1161" s="79"/>
    </row>
    <row r="1162" spans="7:22" x14ac:dyDescent="0.2">
      <c r="G1162" s="79"/>
      <c r="J1162" s="79"/>
      <c r="M1162" s="104"/>
      <c r="P1162" s="79"/>
      <c r="S1162" s="79"/>
      <c r="V1162" s="79"/>
    </row>
    <row r="1163" spans="7:22" x14ac:dyDescent="0.2">
      <c r="G1163" s="79"/>
      <c r="J1163" s="79"/>
      <c r="M1163" s="104"/>
      <c r="P1163" s="79"/>
      <c r="S1163" s="79"/>
      <c r="V1163" s="79"/>
    </row>
    <row r="1164" spans="7:22" x14ac:dyDescent="0.2">
      <c r="G1164" s="79"/>
      <c r="J1164" s="79"/>
      <c r="M1164" s="104"/>
      <c r="P1164" s="79"/>
      <c r="S1164" s="79"/>
      <c r="V1164" s="79"/>
    </row>
    <row r="1165" spans="7:22" x14ac:dyDescent="0.2">
      <c r="G1165" s="79"/>
      <c r="J1165" s="79"/>
      <c r="M1165" s="104"/>
      <c r="P1165" s="79"/>
      <c r="S1165" s="79"/>
      <c r="V1165" s="79"/>
    </row>
    <row r="1166" spans="7:22" x14ac:dyDescent="0.2">
      <c r="G1166" s="79"/>
      <c r="J1166" s="79"/>
      <c r="M1166" s="104"/>
      <c r="P1166" s="79"/>
      <c r="S1166" s="79"/>
      <c r="V1166" s="79"/>
    </row>
    <row r="1167" spans="7:22" x14ac:dyDescent="0.2">
      <c r="G1167" s="79"/>
      <c r="J1167" s="79"/>
      <c r="M1167" s="104"/>
      <c r="P1167" s="79"/>
      <c r="S1167" s="79"/>
      <c r="V1167" s="79"/>
    </row>
    <row r="1168" spans="7:22" x14ac:dyDescent="0.2">
      <c r="G1168" s="79"/>
      <c r="J1168" s="79"/>
      <c r="M1168" s="104"/>
      <c r="P1168" s="79"/>
      <c r="S1168" s="79"/>
      <c r="V1168" s="79"/>
    </row>
    <row r="1169" spans="7:22" x14ac:dyDescent="0.2">
      <c r="G1169" s="79"/>
      <c r="J1169" s="79"/>
      <c r="M1169" s="104"/>
      <c r="P1169" s="79"/>
      <c r="S1169" s="79"/>
      <c r="V1169" s="79"/>
    </row>
    <row r="1170" spans="7:22" x14ac:dyDescent="0.2">
      <c r="G1170" s="79"/>
      <c r="J1170" s="79"/>
      <c r="M1170" s="104"/>
      <c r="P1170" s="79"/>
      <c r="S1170" s="79"/>
      <c r="V1170" s="79"/>
    </row>
    <row r="1171" spans="7:22" x14ac:dyDescent="0.2">
      <c r="G1171" s="79"/>
      <c r="J1171" s="79"/>
      <c r="M1171" s="104"/>
      <c r="P1171" s="79"/>
      <c r="S1171" s="79"/>
      <c r="V1171" s="79"/>
    </row>
    <row r="1172" spans="7:22" x14ac:dyDescent="0.2">
      <c r="G1172" s="79"/>
      <c r="J1172" s="79"/>
      <c r="M1172" s="104"/>
      <c r="P1172" s="79"/>
      <c r="S1172" s="79"/>
      <c r="V1172" s="79"/>
    </row>
    <row r="1173" spans="7:22" x14ac:dyDescent="0.2">
      <c r="G1173" s="79"/>
      <c r="J1173" s="79"/>
      <c r="M1173" s="104"/>
      <c r="P1173" s="79"/>
      <c r="S1173" s="79"/>
      <c r="V1173" s="79"/>
    </row>
    <row r="1174" spans="7:22" x14ac:dyDescent="0.2">
      <c r="G1174" s="79"/>
      <c r="J1174" s="79"/>
      <c r="M1174" s="104"/>
      <c r="P1174" s="79"/>
      <c r="S1174" s="79"/>
      <c r="V1174" s="79"/>
    </row>
    <row r="1175" spans="7:22" x14ac:dyDescent="0.2">
      <c r="G1175" s="79"/>
      <c r="J1175" s="79"/>
      <c r="M1175" s="104"/>
      <c r="P1175" s="79"/>
      <c r="S1175" s="79"/>
      <c r="V1175" s="79"/>
    </row>
    <row r="1176" spans="7:22" x14ac:dyDescent="0.2">
      <c r="G1176" s="79"/>
      <c r="J1176" s="79"/>
      <c r="M1176" s="104"/>
      <c r="P1176" s="79"/>
      <c r="S1176" s="79"/>
      <c r="V1176" s="79"/>
    </row>
    <row r="1177" spans="7:22" x14ac:dyDescent="0.2">
      <c r="G1177" s="79"/>
      <c r="J1177" s="79"/>
      <c r="M1177" s="104"/>
      <c r="P1177" s="79"/>
      <c r="S1177" s="79"/>
      <c r="V1177" s="79"/>
    </row>
    <row r="1178" spans="7:22" x14ac:dyDescent="0.2">
      <c r="G1178" s="79"/>
      <c r="J1178" s="79"/>
      <c r="M1178" s="104"/>
      <c r="P1178" s="79"/>
      <c r="S1178" s="79"/>
      <c r="V1178" s="79"/>
    </row>
    <row r="1179" spans="7:22" x14ac:dyDescent="0.2">
      <c r="G1179" s="79"/>
      <c r="J1179" s="79"/>
      <c r="M1179" s="104"/>
      <c r="P1179" s="79"/>
      <c r="S1179" s="79"/>
      <c r="V1179" s="79"/>
    </row>
    <row r="1180" spans="7:22" x14ac:dyDescent="0.2">
      <c r="G1180" s="79"/>
      <c r="J1180" s="79"/>
      <c r="M1180" s="104"/>
      <c r="P1180" s="79"/>
      <c r="S1180" s="79"/>
      <c r="V1180" s="79"/>
    </row>
    <row r="1181" spans="7:22" x14ac:dyDescent="0.2">
      <c r="G1181" s="79"/>
      <c r="J1181" s="79"/>
      <c r="M1181" s="104"/>
      <c r="P1181" s="79"/>
      <c r="S1181" s="79"/>
      <c r="V1181" s="79"/>
    </row>
    <row r="1182" spans="7:22" x14ac:dyDescent="0.2">
      <c r="G1182" s="79"/>
      <c r="J1182" s="79"/>
      <c r="M1182" s="104"/>
      <c r="P1182" s="79"/>
      <c r="S1182" s="79"/>
      <c r="V1182" s="79"/>
    </row>
    <row r="1183" spans="7:22" x14ac:dyDescent="0.2">
      <c r="G1183" s="79"/>
      <c r="J1183" s="79"/>
      <c r="M1183" s="104"/>
      <c r="P1183" s="79"/>
      <c r="S1183" s="79"/>
      <c r="V1183" s="79"/>
    </row>
    <row r="1184" spans="7:22" x14ac:dyDescent="0.2">
      <c r="G1184" s="79"/>
      <c r="J1184" s="79"/>
      <c r="M1184" s="104"/>
      <c r="P1184" s="79"/>
      <c r="S1184" s="79"/>
      <c r="V1184" s="79"/>
    </row>
    <row r="1185" spans="7:22" x14ac:dyDescent="0.2">
      <c r="G1185" s="79"/>
      <c r="J1185" s="79"/>
      <c r="M1185" s="104"/>
      <c r="P1185" s="79"/>
      <c r="S1185" s="79"/>
      <c r="V1185" s="79"/>
    </row>
    <row r="1186" spans="7:22" x14ac:dyDescent="0.2">
      <c r="G1186" s="79"/>
      <c r="J1186" s="79"/>
      <c r="M1186" s="104"/>
      <c r="P1186" s="79"/>
      <c r="S1186" s="79"/>
      <c r="V1186" s="79"/>
    </row>
    <row r="1187" spans="7:22" x14ac:dyDescent="0.2">
      <c r="G1187" s="79"/>
      <c r="J1187" s="79"/>
      <c r="M1187" s="104"/>
      <c r="P1187" s="79"/>
      <c r="S1187" s="79"/>
      <c r="V1187" s="79"/>
    </row>
    <row r="1188" spans="7:22" x14ac:dyDescent="0.2">
      <c r="G1188" s="79"/>
      <c r="J1188" s="79"/>
      <c r="M1188" s="104"/>
      <c r="P1188" s="79"/>
      <c r="S1188" s="79"/>
      <c r="V1188" s="79"/>
    </row>
    <row r="1189" spans="7:22" x14ac:dyDescent="0.2">
      <c r="G1189" s="79"/>
      <c r="J1189" s="79"/>
      <c r="M1189" s="104"/>
      <c r="P1189" s="79"/>
      <c r="S1189" s="79"/>
      <c r="V1189" s="79"/>
    </row>
    <row r="1190" spans="7:22" x14ac:dyDescent="0.2">
      <c r="G1190" s="79"/>
      <c r="J1190" s="79"/>
      <c r="M1190" s="104"/>
      <c r="P1190" s="79"/>
      <c r="S1190" s="79"/>
      <c r="V1190" s="79"/>
    </row>
    <row r="1191" spans="7:22" x14ac:dyDescent="0.2">
      <c r="G1191" s="79"/>
      <c r="J1191" s="79"/>
      <c r="M1191" s="104"/>
      <c r="P1191" s="79"/>
      <c r="S1191" s="79"/>
      <c r="V1191" s="79"/>
    </row>
    <row r="1192" spans="7:22" x14ac:dyDescent="0.2">
      <c r="G1192" s="79"/>
      <c r="J1192" s="79"/>
      <c r="M1192" s="104"/>
      <c r="P1192" s="79"/>
      <c r="S1192" s="79"/>
      <c r="V1192" s="79"/>
    </row>
    <row r="1193" spans="7:22" x14ac:dyDescent="0.2">
      <c r="G1193" s="79"/>
      <c r="J1193" s="79"/>
      <c r="M1193" s="104"/>
      <c r="P1193" s="79"/>
      <c r="S1193" s="79"/>
      <c r="V1193" s="79"/>
    </row>
    <row r="1194" spans="7:22" x14ac:dyDescent="0.2">
      <c r="G1194" s="79"/>
      <c r="J1194" s="79"/>
      <c r="M1194" s="104"/>
      <c r="P1194" s="79"/>
      <c r="S1194" s="79"/>
      <c r="V1194" s="79"/>
    </row>
    <row r="1195" spans="7:22" x14ac:dyDescent="0.2">
      <c r="G1195" s="79"/>
      <c r="J1195" s="79"/>
      <c r="M1195" s="104"/>
      <c r="P1195" s="79"/>
      <c r="S1195" s="79"/>
      <c r="V1195" s="79"/>
    </row>
    <row r="1196" spans="7:22" x14ac:dyDescent="0.2">
      <c r="G1196" s="79"/>
      <c r="J1196" s="79"/>
      <c r="M1196" s="104"/>
      <c r="P1196" s="79"/>
      <c r="S1196" s="79"/>
      <c r="V1196" s="79"/>
    </row>
    <row r="1197" spans="7:22" x14ac:dyDescent="0.2">
      <c r="G1197" s="79"/>
      <c r="J1197" s="79"/>
      <c r="M1197" s="104"/>
      <c r="P1197" s="79"/>
      <c r="S1197" s="79"/>
      <c r="V1197" s="79"/>
    </row>
    <row r="1198" spans="7:22" x14ac:dyDescent="0.2">
      <c r="G1198" s="79"/>
      <c r="J1198" s="79"/>
      <c r="M1198" s="104"/>
      <c r="P1198" s="79"/>
      <c r="S1198" s="79"/>
      <c r="V1198" s="79"/>
    </row>
    <row r="1199" spans="7:22" x14ac:dyDescent="0.2">
      <c r="G1199" s="79"/>
      <c r="J1199" s="79"/>
      <c r="M1199" s="104"/>
      <c r="P1199" s="79"/>
      <c r="S1199" s="79"/>
      <c r="V1199" s="79"/>
    </row>
    <row r="1200" spans="7:22" x14ac:dyDescent="0.2">
      <c r="G1200" s="79"/>
      <c r="J1200" s="79"/>
      <c r="M1200" s="104"/>
      <c r="P1200" s="79"/>
      <c r="S1200" s="79"/>
      <c r="V1200" s="79"/>
    </row>
    <row r="1201" spans="7:22" x14ac:dyDescent="0.2">
      <c r="G1201" s="79"/>
      <c r="J1201" s="79"/>
      <c r="M1201" s="104"/>
      <c r="P1201" s="79"/>
      <c r="S1201" s="79"/>
      <c r="V1201" s="79"/>
    </row>
    <row r="1202" spans="7:22" x14ac:dyDescent="0.2">
      <c r="G1202" s="79"/>
      <c r="J1202" s="79"/>
      <c r="M1202" s="104"/>
      <c r="P1202" s="79"/>
      <c r="S1202" s="79"/>
      <c r="V1202" s="79"/>
    </row>
    <row r="1203" spans="7:22" x14ac:dyDescent="0.2">
      <c r="G1203" s="79"/>
      <c r="J1203" s="79"/>
      <c r="M1203" s="104"/>
      <c r="P1203" s="79"/>
      <c r="S1203" s="79"/>
      <c r="V1203" s="79"/>
    </row>
    <row r="1204" spans="7:22" x14ac:dyDescent="0.2">
      <c r="G1204" s="79"/>
      <c r="J1204" s="79"/>
      <c r="M1204" s="104"/>
      <c r="P1204" s="79"/>
      <c r="S1204" s="79"/>
      <c r="V1204" s="79"/>
    </row>
    <row r="1205" spans="7:22" x14ac:dyDescent="0.2">
      <c r="G1205" s="79"/>
      <c r="J1205" s="79"/>
      <c r="M1205" s="104"/>
      <c r="P1205" s="79"/>
      <c r="S1205" s="79"/>
      <c r="V1205" s="79"/>
    </row>
    <row r="1206" spans="7:22" x14ac:dyDescent="0.2">
      <c r="G1206" s="79"/>
      <c r="J1206" s="79"/>
      <c r="M1206" s="104"/>
      <c r="P1206" s="79"/>
      <c r="S1206" s="79"/>
      <c r="V1206" s="79"/>
    </row>
    <row r="1207" spans="7:22" x14ac:dyDescent="0.2">
      <c r="G1207" s="79"/>
      <c r="J1207" s="79"/>
      <c r="M1207" s="104"/>
      <c r="P1207" s="79"/>
      <c r="S1207" s="79"/>
      <c r="V1207" s="79"/>
    </row>
    <row r="1208" spans="7:22" x14ac:dyDescent="0.2">
      <c r="G1208" s="79"/>
      <c r="J1208" s="79"/>
      <c r="M1208" s="104"/>
      <c r="P1208" s="79"/>
      <c r="S1208" s="79"/>
      <c r="V1208" s="79"/>
    </row>
    <row r="1209" spans="7:22" x14ac:dyDescent="0.2">
      <c r="G1209" s="79"/>
      <c r="J1209" s="79"/>
      <c r="M1209" s="104"/>
      <c r="P1209" s="79"/>
      <c r="S1209" s="79"/>
      <c r="V1209" s="79"/>
    </row>
    <row r="1210" spans="7:22" x14ac:dyDescent="0.2">
      <c r="G1210" s="79"/>
      <c r="J1210" s="79"/>
      <c r="M1210" s="104"/>
      <c r="P1210" s="79"/>
      <c r="S1210" s="79"/>
      <c r="V1210" s="79"/>
    </row>
    <row r="1211" spans="7:22" x14ac:dyDescent="0.2">
      <c r="G1211" s="79"/>
      <c r="J1211" s="79"/>
      <c r="M1211" s="104"/>
      <c r="P1211" s="79"/>
      <c r="S1211" s="79"/>
      <c r="V1211" s="79"/>
    </row>
    <row r="1212" spans="7:22" x14ac:dyDescent="0.2">
      <c r="G1212" s="79"/>
      <c r="J1212" s="79"/>
      <c r="M1212" s="104"/>
      <c r="P1212" s="79"/>
      <c r="S1212" s="79"/>
      <c r="V1212" s="79"/>
    </row>
    <row r="1213" spans="7:22" x14ac:dyDescent="0.2">
      <c r="G1213" s="79"/>
      <c r="J1213" s="79"/>
      <c r="M1213" s="104"/>
      <c r="P1213" s="79"/>
      <c r="S1213" s="79"/>
      <c r="V1213" s="79"/>
    </row>
    <row r="1214" spans="7:22" x14ac:dyDescent="0.2">
      <c r="G1214" s="79"/>
      <c r="J1214" s="79"/>
      <c r="M1214" s="104"/>
      <c r="P1214" s="79"/>
      <c r="S1214" s="79"/>
      <c r="V1214" s="79"/>
    </row>
    <row r="1215" spans="7:22" x14ac:dyDescent="0.2">
      <c r="G1215" s="79"/>
      <c r="J1215" s="79"/>
      <c r="M1215" s="104"/>
      <c r="P1215" s="79"/>
      <c r="S1215" s="79"/>
      <c r="V1215" s="79"/>
    </row>
    <row r="1216" spans="7:22" x14ac:dyDescent="0.2">
      <c r="G1216" s="79"/>
      <c r="J1216" s="79"/>
      <c r="M1216" s="104"/>
      <c r="P1216" s="79"/>
      <c r="S1216" s="79"/>
      <c r="V1216" s="79"/>
    </row>
    <row r="1217" spans="7:22" x14ac:dyDescent="0.2">
      <c r="G1217" s="79"/>
      <c r="J1217" s="79"/>
      <c r="M1217" s="104"/>
      <c r="P1217" s="79"/>
      <c r="S1217" s="79"/>
      <c r="V1217" s="79"/>
    </row>
    <row r="1218" spans="7:22" x14ac:dyDescent="0.2">
      <c r="G1218" s="79"/>
      <c r="J1218" s="79"/>
      <c r="M1218" s="104"/>
      <c r="P1218" s="79"/>
      <c r="S1218" s="79"/>
      <c r="V1218" s="79"/>
    </row>
    <row r="1219" spans="7:22" x14ac:dyDescent="0.2">
      <c r="G1219" s="79"/>
      <c r="J1219" s="79"/>
      <c r="M1219" s="104"/>
      <c r="P1219" s="79"/>
      <c r="S1219" s="79"/>
      <c r="V1219" s="79"/>
    </row>
    <row r="1220" spans="7:22" x14ac:dyDescent="0.2">
      <c r="G1220" s="79"/>
      <c r="J1220" s="79"/>
      <c r="M1220" s="104"/>
      <c r="P1220" s="79"/>
      <c r="S1220" s="79"/>
      <c r="V1220" s="79"/>
    </row>
    <row r="1221" spans="7:22" x14ac:dyDescent="0.2">
      <c r="G1221" s="79"/>
      <c r="J1221" s="79"/>
      <c r="M1221" s="104"/>
      <c r="P1221" s="79"/>
      <c r="S1221" s="79"/>
      <c r="V1221" s="79"/>
    </row>
    <row r="1222" spans="7:22" x14ac:dyDescent="0.2">
      <c r="G1222" s="79"/>
      <c r="J1222" s="79"/>
      <c r="M1222" s="104"/>
      <c r="P1222" s="79"/>
      <c r="S1222" s="79"/>
      <c r="V1222" s="79"/>
    </row>
    <row r="1223" spans="7:22" x14ac:dyDescent="0.2">
      <c r="G1223" s="79"/>
      <c r="J1223" s="79"/>
      <c r="M1223" s="104"/>
      <c r="P1223" s="79"/>
      <c r="S1223" s="79"/>
      <c r="V1223" s="79"/>
    </row>
    <row r="1224" spans="7:22" x14ac:dyDescent="0.2">
      <c r="G1224" s="79"/>
      <c r="J1224" s="79"/>
      <c r="M1224" s="104"/>
      <c r="P1224" s="79"/>
      <c r="S1224" s="79"/>
      <c r="V1224" s="79"/>
    </row>
    <row r="1225" spans="7:22" x14ac:dyDescent="0.2">
      <c r="G1225" s="79"/>
      <c r="J1225" s="79"/>
      <c r="M1225" s="104"/>
      <c r="P1225" s="79"/>
      <c r="S1225" s="79"/>
      <c r="V1225" s="79"/>
    </row>
    <row r="1226" spans="7:22" x14ac:dyDescent="0.2">
      <c r="G1226" s="79"/>
      <c r="J1226" s="79"/>
      <c r="M1226" s="104"/>
      <c r="P1226" s="79"/>
      <c r="S1226" s="79"/>
      <c r="V1226" s="79"/>
    </row>
    <row r="1227" spans="7:22" x14ac:dyDescent="0.2">
      <c r="G1227" s="79"/>
      <c r="J1227" s="79"/>
      <c r="M1227" s="104"/>
      <c r="P1227" s="79"/>
      <c r="S1227" s="79"/>
      <c r="V1227" s="79"/>
    </row>
    <row r="1228" spans="7:22" x14ac:dyDescent="0.2">
      <c r="G1228" s="79"/>
      <c r="J1228" s="79"/>
      <c r="M1228" s="104"/>
      <c r="P1228" s="79"/>
      <c r="S1228" s="79"/>
      <c r="V1228" s="79"/>
    </row>
    <row r="1229" spans="7:22" x14ac:dyDescent="0.2">
      <c r="G1229" s="79"/>
      <c r="J1229" s="79"/>
      <c r="M1229" s="104"/>
      <c r="P1229" s="79"/>
      <c r="S1229" s="79"/>
      <c r="V1229" s="79"/>
    </row>
    <row r="1230" spans="7:22" x14ac:dyDescent="0.2">
      <c r="G1230" s="79"/>
      <c r="J1230" s="79"/>
      <c r="M1230" s="104"/>
      <c r="P1230" s="79"/>
      <c r="S1230" s="79"/>
      <c r="V1230" s="79"/>
    </row>
    <row r="1231" spans="7:22" x14ac:dyDescent="0.2">
      <c r="G1231" s="79"/>
      <c r="J1231" s="79"/>
      <c r="M1231" s="104"/>
      <c r="P1231" s="79"/>
      <c r="S1231" s="79"/>
      <c r="V1231" s="79"/>
    </row>
    <row r="1232" spans="7:22" x14ac:dyDescent="0.2">
      <c r="G1232" s="79"/>
      <c r="J1232" s="79"/>
      <c r="M1232" s="104"/>
      <c r="P1232" s="79"/>
      <c r="S1232" s="79"/>
      <c r="V1232" s="79"/>
    </row>
    <row r="1233" spans="7:22" x14ac:dyDescent="0.2">
      <c r="G1233" s="79"/>
      <c r="J1233" s="79"/>
      <c r="M1233" s="104"/>
      <c r="P1233" s="79"/>
      <c r="S1233" s="79"/>
      <c r="V1233" s="79"/>
    </row>
    <row r="1234" spans="7:22" x14ac:dyDescent="0.2">
      <c r="G1234" s="79"/>
      <c r="J1234" s="79"/>
      <c r="M1234" s="104"/>
      <c r="P1234" s="79"/>
      <c r="S1234" s="79"/>
      <c r="V1234" s="79"/>
    </row>
    <row r="1235" spans="7:22" x14ac:dyDescent="0.2">
      <c r="G1235" s="79"/>
      <c r="J1235" s="79"/>
      <c r="M1235" s="104"/>
      <c r="P1235" s="79"/>
      <c r="S1235" s="79"/>
      <c r="V1235" s="79"/>
    </row>
    <row r="1236" spans="7:22" x14ac:dyDescent="0.2">
      <c r="G1236" s="79"/>
      <c r="J1236" s="79"/>
      <c r="M1236" s="104"/>
      <c r="P1236" s="79"/>
      <c r="S1236" s="79"/>
      <c r="V1236" s="79"/>
    </row>
    <row r="1237" spans="7:22" x14ac:dyDescent="0.2">
      <c r="G1237" s="79"/>
      <c r="J1237" s="79"/>
      <c r="M1237" s="104"/>
      <c r="P1237" s="79"/>
      <c r="S1237" s="79"/>
      <c r="V1237" s="79"/>
    </row>
    <row r="1238" spans="7:22" x14ac:dyDescent="0.2">
      <c r="G1238" s="79"/>
      <c r="J1238" s="79"/>
      <c r="M1238" s="104"/>
      <c r="P1238" s="79"/>
      <c r="S1238" s="79"/>
      <c r="V1238" s="79"/>
    </row>
    <row r="1239" spans="7:22" x14ac:dyDescent="0.2">
      <c r="G1239" s="79"/>
      <c r="J1239" s="79"/>
      <c r="M1239" s="104"/>
      <c r="P1239" s="79"/>
      <c r="S1239" s="79"/>
      <c r="V1239" s="79"/>
    </row>
    <row r="1240" spans="7:22" x14ac:dyDescent="0.2">
      <c r="G1240" s="79"/>
      <c r="J1240" s="79"/>
      <c r="M1240" s="104"/>
      <c r="P1240" s="79"/>
      <c r="S1240" s="79"/>
      <c r="V1240" s="79"/>
    </row>
    <row r="1241" spans="7:22" x14ac:dyDescent="0.2">
      <c r="G1241" s="79"/>
      <c r="J1241" s="79"/>
      <c r="M1241" s="104"/>
      <c r="P1241" s="79"/>
      <c r="S1241" s="79"/>
      <c r="V1241" s="79"/>
    </row>
    <row r="1242" spans="7:22" x14ac:dyDescent="0.2">
      <c r="G1242" s="79"/>
      <c r="J1242" s="79"/>
      <c r="M1242" s="104"/>
      <c r="P1242" s="79"/>
      <c r="S1242" s="79"/>
      <c r="V1242" s="79"/>
    </row>
    <row r="1243" spans="7:22" x14ac:dyDescent="0.2">
      <c r="G1243" s="79"/>
      <c r="J1243" s="79"/>
      <c r="M1243" s="104"/>
      <c r="P1243" s="79"/>
      <c r="S1243" s="79"/>
      <c r="V1243" s="79"/>
    </row>
    <row r="1244" spans="7:22" x14ac:dyDescent="0.2">
      <c r="G1244" s="79"/>
      <c r="J1244" s="79"/>
      <c r="M1244" s="104"/>
      <c r="P1244" s="79"/>
      <c r="S1244" s="79"/>
      <c r="V1244" s="79"/>
    </row>
    <row r="1245" spans="7:22" x14ac:dyDescent="0.2">
      <c r="G1245" s="79"/>
      <c r="J1245" s="79"/>
      <c r="M1245" s="104"/>
      <c r="P1245" s="79"/>
      <c r="S1245" s="79"/>
      <c r="V1245" s="79"/>
    </row>
    <row r="1246" spans="7:22" x14ac:dyDescent="0.2">
      <c r="G1246" s="79"/>
      <c r="J1246" s="79"/>
      <c r="M1246" s="104"/>
      <c r="P1246" s="79"/>
      <c r="S1246" s="79"/>
      <c r="V1246" s="79"/>
    </row>
    <row r="1247" spans="7:22" x14ac:dyDescent="0.2">
      <c r="G1247" s="79"/>
      <c r="J1247" s="79"/>
      <c r="M1247" s="104"/>
      <c r="P1247" s="79"/>
      <c r="S1247" s="79"/>
      <c r="V1247" s="79"/>
    </row>
    <row r="1248" spans="7:22" x14ac:dyDescent="0.2">
      <c r="G1248" s="79"/>
      <c r="J1248" s="79"/>
      <c r="M1248" s="104"/>
      <c r="P1248" s="79"/>
      <c r="S1248" s="79"/>
      <c r="V1248" s="79"/>
    </row>
    <row r="1249" spans="7:22" x14ac:dyDescent="0.2">
      <c r="G1249" s="79"/>
      <c r="J1249" s="79"/>
      <c r="M1249" s="104"/>
      <c r="P1249" s="79"/>
      <c r="S1249" s="79"/>
      <c r="V1249" s="79"/>
    </row>
    <row r="1250" spans="7:22" x14ac:dyDescent="0.2">
      <c r="G1250" s="79"/>
      <c r="J1250" s="79"/>
      <c r="M1250" s="104"/>
      <c r="P1250" s="79"/>
      <c r="S1250" s="79"/>
      <c r="V1250" s="79"/>
    </row>
    <row r="1251" spans="7:22" x14ac:dyDescent="0.2">
      <c r="G1251" s="79"/>
      <c r="J1251" s="79"/>
      <c r="M1251" s="104"/>
      <c r="P1251" s="79"/>
      <c r="S1251" s="79"/>
      <c r="V1251" s="79"/>
    </row>
    <row r="1252" spans="7:22" x14ac:dyDescent="0.2">
      <c r="G1252" s="79"/>
      <c r="J1252" s="79"/>
      <c r="M1252" s="104"/>
      <c r="P1252" s="79"/>
      <c r="S1252" s="79"/>
      <c r="V1252" s="79"/>
    </row>
    <row r="1253" spans="7:22" x14ac:dyDescent="0.2">
      <c r="G1253" s="79"/>
      <c r="J1253" s="79"/>
      <c r="M1253" s="104"/>
      <c r="P1253" s="79"/>
      <c r="S1253" s="79"/>
      <c r="V1253" s="79"/>
    </row>
    <row r="1254" spans="7:22" x14ac:dyDescent="0.2">
      <c r="G1254" s="79"/>
      <c r="J1254" s="79"/>
      <c r="M1254" s="104"/>
      <c r="P1254" s="79"/>
      <c r="S1254" s="79"/>
      <c r="V1254" s="79"/>
    </row>
    <row r="1255" spans="7:22" x14ac:dyDescent="0.2">
      <c r="G1255" s="79"/>
      <c r="J1255" s="79"/>
      <c r="M1255" s="104"/>
      <c r="P1255" s="79"/>
      <c r="S1255" s="79"/>
      <c r="V1255" s="79"/>
    </row>
    <row r="1256" spans="7:22" x14ac:dyDescent="0.2">
      <c r="G1256" s="79"/>
      <c r="J1256" s="79"/>
      <c r="M1256" s="104"/>
      <c r="P1256" s="79"/>
      <c r="S1256" s="79"/>
      <c r="V1256" s="79"/>
    </row>
    <row r="1257" spans="7:22" x14ac:dyDescent="0.2">
      <c r="G1257" s="79"/>
      <c r="J1257" s="79"/>
      <c r="M1257" s="104"/>
      <c r="P1257" s="79"/>
      <c r="S1257" s="79"/>
      <c r="V1257" s="79"/>
    </row>
    <row r="1258" spans="7:22" x14ac:dyDescent="0.2">
      <c r="G1258" s="79"/>
      <c r="J1258" s="79"/>
      <c r="M1258" s="104"/>
      <c r="P1258" s="79"/>
      <c r="S1258" s="79"/>
      <c r="V1258" s="79"/>
    </row>
    <row r="1259" spans="7:22" x14ac:dyDescent="0.2">
      <c r="G1259" s="79"/>
      <c r="J1259" s="79"/>
      <c r="M1259" s="104"/>
      <c r="P1259" s="79"/>
      <c r="S1259" s="79"/>
      <c r="V1259" s="79"/>
    </row>
    <row r="1260" spans="7:22" x14ac:dyDescent="0.2">
      <c r="G1260" s="79"/>
      <c r="J1260" s="79"/>
      <c r="M1260" s="104"/>
      <c r="P1260" s="79"/>
      <c r="S1260" s="79"/>
      <c r="V1260" s="79"/>
    </row>
    <row r="1261" spans="7:22" x14ac:dyDescent="0.2">
      <c r="G1261" s="79"/>
      <c r="J1261" s="79"/>
      <c r="M1261" s="104"/>
      <c r="P1261" s="79"/>
      <c r="S1261" s="79"/>
      <c r="V1261" s="79"/>
    </row>
    <row r="1262" spans="7:22" x14ac:dyDescent="0.2">
      <c r="G1262" s="79"/>
      <c r="J1262" s="79"/>
      <c r="M1262" s="104"/>
      <c r="P1262" s="79"/>
      <c r="S1262" s="79"/>
      <c r="V1262" s="79"/>
    </row>
    <row r="1263" spans="7:22" x14ac:dyDescent="0.2">
      <c r="G1263" s="79"/>
      <c r="J1263" s="79"/>
      <c r="M1263" s="104"/>
      <c r="P1263" s="79"/>
      <c r="S1263" s="79"/>
      <c r="V1263" s="79"/>
    </row>
    <row r="1264" spans="7:22" x14ac:dyDescent="0.2">
      <c r="G1264" s="79"/>
      <c r="J1264" s="79"/>
      <c r="M1264" s="104"/>
      <c r="P1264" s="79"/>
      <c r="S1264" s="79"/>
      <c r="V1264" s="79"/>
    </row>
    <row r="1265" spans="7:22" x14ac:dyDescent="0.2">
      <c r="G1265" s="79"/>
      <c r="J1265" s="79"/>
      <c r="M1265" s="104"/>
      <c r="P1265" s="79"/>
      <c r="S1265" s="79"/>
      <c r="V1265" s="79"/>
    </row>
    <row r="1266" spans="7:22" x14ac:dyDescent="0.2">
      <c r="G1266" s="79"/>
      <c r="J1266" s="79"/>
      <c r="M1266" s="104"/>
      <c r="P1266" s="79"/>
      <c r="S1266" s="79"/>
      <c r="V1266" s="79"/>
    </row>
    <row r="1267" spans="7:22" x14ac:dyDescent="0.2">
      <c r="G1267" s="79"/>
      <c r="J1267" s="79"/>
      <c r="M1267" s="104"/>
      <c r="P1267" s="79"/>
      <c r="S1267" s="79"/>
      <c r="V1267" s="79"/>
    </row>
    <row r="1268" spans="7:22" x14ac:dyDescent="0.2">
      <c r="G1268" s="79"/>
      <c r="J1268" s="79"/>
      <c r="M1268" s="104"/>
      <c r="P1268" s="79"/>
      <c r="S1268" s="79"/>
      <c r="V1268" s="79"/>
    </row>
    <row r="1269" spans="7:22" x14ac:dyDescent="0.2">
      <c r="G1269" s="79"/>
      <c r="J1269" s="79"/>
      <c r="M1269" s="104"/>
      <c r="P1269" s="79"/>
      <c r="S1269" s="79"/>
      <c r="V1269" s="79"/>
    </row>
    <row r="1270" spans="7:22" x14ac:dyDescent="0.2">
      <c r="G1270" s="79"/>
      <c r="J1270" s="79"/>
      <c r="M1270" s="104"/>
      <c r="P1270" s="79"/>
      <c r="S1270" s="79"/>
      <c r="V1270" s="79"/>
    </row>
    <row r="1271" spans="7:22" x14ac:dyDescent="0.2">
      <c r="G1271" s="79"/>
      <c r="J1271" s="79"/>
      <c r="M1271" s="104"/>
      <c r="P1271" s="79"/>
      <c r="S1271" s="79"/>
      <c r="V1271" s="79"/>
    </row>
    <row r="1272" spans="7:22" x14ac:dyDescent="0.2">
      <c r="G1272" s="79"/>
      <c r="J1272" s="79"/>
      <c r="M1272" s="104"/>
      <c r="P1272" s="79"/>
      <c r="S1272" s="79"/>
      <c r="V1272" s="79"/>
    </row>
    <row r="1273" spans="7:22" x14ac:dyDescent="0.2">
      <c r="G1273" s="79"/>
      <c r="J1273" s="79"/>
      <c r="M1273" s="104"/>
      <c r="P1273" s="79"/>
      <c r="S1273" s="79"/>
      <c r="V1273" s="79"/>
    </row>
    <row r="1274" spans="7:22" x14ac:dyDescent="0.2">
      <c r="G1274" s="79"/>
      <c r="J1274" s="79"/>
      <c r="M1274" s="104"/>
      <c r="P1274" s="79"/>
      <c r="S1274" s="79"/>
      <c r="V1274" s="79"/>
    </row>
    <row r="1275" spans="7:22" x14ac:dyDescent="0.2">
      <c r="G1275" s="79"/>
      <c r="J1275" s="79"/>
      <c r="M1275" s="104"/>
      <c r="P1275" s="79"/>
      <c r="S1275" s="79"/>
      <c r="V1275" s="79"/>
    </row>
    <row r="1276" spans="7:22" x14ac:dyDescent="0.2">
      <c r="G1276" s="79"/>
      <c r="J1276" s="79"/>
      <c r="M1276" s="104"/>
      <c r="P1276" s="79"/>
      <c r="S1276" s="79"/>
      <c r="V1276" s="79"/>
    </row>
    <row r="1277" spans="7:22" x14ac:dyDescent="0.2">
      <c r="G1277" s="79"/>
      <c r="J1277" s="79"/>
      <c r="M1277" s="104"/>
      <c r="P1277" s="79"/>
      <c r="S1277" s="79"/>
      <c r="V1277" s="79"/>
    </row>
    <row r="1278" spans="7:22" x14ac:dyDescent="0.2">
      <c r="G1278" s="79"/>
      <c r="J1278" s="79"/>
      <c r="M1278" s="104"/>
      <c r="P1278" s="79"/>
      <c r="S1278" s="79"/>
      <c r="V1278" s="79"/>
    </row>
    <row r="1279" spans="7:22" x14ac:dyDescent="0.2">
      <c r="G1279" s="79"/>
      <c r="J1279" s="79"/>
      <c r="M1279" s="104"/>
      <c r="P1279" s="79"/>
      <c r="S1279" s="79"/>
      <c r="V1279" s="79"/>
    </row>
    <row r="1280" spans="7:22" x14ac:dyDescent="0.2">
      <c r="G1280" s="79"/>
      <c r="J1280" s="79"/>
      <c r="M1280" s="104"/>
      <c r="P1280" s="79"/>
      <c r="S1280" s="79"/>
      <c r="V1280" s="79"/>
    </row>
    <row r="1281" spans="7:22" x14ac:dyDescent="0.2">
      <c r="G1281" s="79"/>
      <c r="J1281" s="79"/>
      <c r="M1281" s="104"/>
      <c r="P1281" s="79"/>
      <c r="S1281" s="79"/>
      <c r="V1281" s="79"/>
    </row>
    <row r="1282" spans="7:22" x14ac:dyDescent="0.2">
      <c r="G1282" s="79"/>
      <c r="J1282" s="79"/>
      <c r="M1282" s="104"/>
      <c r="P1282" s="79"/>
      <c r="S1282" s="79"/>
      <c r="V1282" s="79"/>
    </row>
    <row r="1283" spans="7:22" x14ac:dyDescent="0.2">
      <c r="G1283" s="79"/>
      <c r="J1283" s="79"/>
      <c r="M1283" s="104"/>
      <c r="P1283" s="79"/>
      <c r="S1283" s="79"/>
      <c r="V1283" s="79"/>
    </row>
    <row r="1284" spans="7:22" x14ac:dyDescent="0.2">
      <c r="G1284" s="79"/>
      <c r="J1284" s="79"/>
      <c r="M1284" s="104"/>
      <c r="P1284" s="79"/>
      <c r="S1284" s="79"/>
      <c r="V1284" s="79"/>
    </row>
    <row r="1285" spans="7:22" x14ac:dyDescent="0.2">
      <c r="G1285" s="79"/>
      <c r="J1285" s="79"/>
      <c r="M1285" s="104"/>
      <c r="P1285" s="79"/>
      <c r="S1285" s="79"/>
      <c r="V1285" s="79"/>
    </row>
    <row r="1286" spans="7:22" x14ac:dyDescent="0.2">
      <c r="G1286" s="79"/>
      <c r="J1286" s="79"/>
      <c r="M1286" s="104"/>
      <c r="P1286" s="79"/>
      <c r="S1286" s="79"/>
      <c r="V1286" s="79"/>
    </row>
    <row r="1287" spans="7:22" x14ac:dyDescent="0.2">
      <c r="G1287" s="79"/>
      <c r="J1287" s="79"/>
      <c r="M1287" s="104"/>
      <c r="P1287" s="79"/>
      <c r="S1287" s="79"/>
      <c r="V1287" s="79"/>
    </row>
    <row r="1288" spans="7:22" x14ac:dyDescent="0.2">
      <c r="G1288" s="79"/>
      <c r="J1288" s="79"/>
      <c r="M1288" s="104"/>
      <c r="P1288" s="79"/>
      <c r="S1288" s="79"/>
      <c r="V1288" s="79"/>
    </row>
    <row r="1289" spans="7:22" x14ac:dyDescent="0.2">
      <c r="G1289" s="79"/>
      <c r="J1289" s="79"/>
      <c r="M1289" s="104"/>
      <c r="P1289" s="79"/>
      <c r="S1289" s="79"/>
      <c r="V1289" s="79"/>
    </row>
    <row r="1290" spans="7:22" x14ac:dyDescent="0.2">
      <c r="G1290" s="79"/>
      <c r="J1290" s="79"/>
      <c r="M1290" s="104"/>
      <c r="P1290" s="79"/>
      <c r="S1290" s="79"/>
      <c r="V1290" s="79"/>
    </row>
    <row r="1291" spans="7:22" x14ac:dyDescent="0.2">
      <c r="G1291" s="79"/>
      <c r="J1291" s="79"/>
      <c r="M1291" s="104"/>
      <c r="P1291" s="79"/>
      <c r="S1291" s="79"/>
      <c r="V1291" s="79"/>
    </row>
    <row r="1292" spans="7:22" x14ac:dyDescent="0.2">
      <c r="G1292" s="79"/>
      <c r="J1292" s="79"/>
      <c r="M1292" s="104"/>
      <c r="P1292" s="79"/>
      <c r="S1292" s="79"/>
      <c r="V1292" s="79"/>
    </row>
    <row r="1293" spans="7:22" x14ac:dyDescent="0.2">
      <c r="G1293" s="79"/>
      <c r="J1293" s="79"/>
      <c r="M1293" s="104"/>
      <c r="P1293" s="79"/>
      <c r="S1293" s="79"/>
      <c r="V1293" s="79"/>
    </row>
    <row r="1294" spans="7:22" x14ac:dyDescent="0.2">
      <c r="G1294" s="79"/>
      <c r="J1294" s="79"/>
      <c r="M1294" s="104"/>
      <c r="P1294" s="79"/>
      <c r="S1294" s="79"/>
      <c r="V1294" s="79"/>
    </row>
    <row r="1295" spans="7:22" x14ac:dyDescent="0.2">
      <c r="G1295" s="79"/>
      <c r="J1295" s="79"/>
      <c r="M1295" s="104"/>
      <c r="P1295" s="79"/>
      <c r="S1295" s="79"/>
      <c r="V1295" s="79"/>
    </row>
    <row r="1296" spans="7:22" x14ac:dyDescent="0.2">
      <c r="G1296" s="79"/>
      <c r="J1296" s="79"/>
      <c r="M1296" s="104"/>
      <c r="P1296" s="79"/>
      <c r="S1296" s="79"/>
      <c r="V1296" s="79"/>
    </row>
    <row r="1297" spans="7:22" x14ac:dyDescent="0.2">
      <c r="G1297" s="79"/>
      <c r="J1297" s="79"/>
      <c r="M1297" s="104"/>
      <c r="P1297" s="79"/>
      <c r="S1297" s="79"/>
      <c r="V1297" s="79"/>
    </row>
    <row r="1298" spans="7:22" x14ac:dyDescent="0.2">
      <c r="G1298" s="79"/>
      <c r="J1298" s="79"/>
      <c r="M1298" s="104"/>
      <c r="P1298" s="79"/>
      <c r="S1298" s="79"/>
      <c r="V1298" s="79"/>
    </row>
    <row r="1299" spans="7:22" x14ac:dyDescent="0.2">
      <c r="G1299" s="79"/>
      <c r="J1299" s="79"/>
      <c r="M1299" s="104"/>
      <c r="P1299" s="79"/>
      <c r="S1299" s="79"/>
      <c r="V1299" s="79"/>
    </row>
    <row r="1300" spans="7:22" x14ac:dyDescent="0.2">
      <c r="G1300" s="79"/>
      <c r="J1300" s="79"/>
      <c r="M1300" s="104"/>
      <c r="P1300" s="79"/>
      <c r="S1300" s="79"/>
      <c r="V1300" s="79"/>
    </row>
    <row r="1301" spans="7:22" x14ac:dyDescent="0.2">
      <c r="G1301" s="79"/>
      <c r="J1301" s="79"/>
      <c r="M1301" s="104"/>
      <c r="P1301" s="79"/>
      <c r="S1301" s="79"/>
      <c r="V1301" s="79"/>
    </row>
    <row r="1302" spans="7:22" x14ac:dyDescent="0.2">
      <c r="G1302" s="79"/>
      <c r="J1302" s="79"/>
      <c r="M1302" s="104"/>
      <c r="P1302" s="79"/>
      <c r="S1302" s="79"/>
      <c r="V1302" s="79"/>
    </row>
    <row r="1303" spans="7:22" x14ac:dyDescent="0.2">
      <c r="G1303" s="79"/>
      <c r="J1303" s="79"/>
      <c r="M1303" s="104"/>
      <c r="P1303" s="79"/>
      <c r="S1303" s="79"/>
      <c r="V1303" s="79"/>
    </row>
    <row r="1304" spans="7:22" x14ac:dyDescent="0.2">
      <c r="G1304" s="79"/>
      <c r="J1304" s="79"/>
      <c r="M1304" s="104"/>
      <c r="P1304" s="79"/>
      <c r="S1304" s="79"/>
      <c r="V1304" s="79"/>
    </row>
    <row r="1305" spans="7:22" x14ac:dyDescent="0.2">
      <c r="G1305" s="79"/>
      <c r="J1305" s="79"/>
      <c r="M1305" s="104"/>
      <c r="P1305" s="79"/>
      <c r="S1305" s="79"/>
      <c r="V1305" s="79"/>
    </row>
    <row r="1306" spans="7:22" x14ac:dyDescent="0.2">
      <c r="G1306" s="79"/>
      <c r="J1306" s="79"/>
      <c r="M1306" s="104"/>
      <c r="P1306" s="79"/>
      <c r="S1306" s="79"/>
      <c r="V1306" s="79"/>
    </row>
    <row r="1307" spans="7:22" x14ac:dyDescent="0.2">
      <c r="G1307" s="79"/>
      <c r="J1307" s="79"/>
      <c r="M1307" s="104"/>
      <c r="P1307" s="79"/>
      <c r="S1307" s="79"/>
      <c r="V1307" s="79"/>
    </row>
    <row r="1308" spans="7:22" x14ac:dyDescent="0.2">
      <c r="G1308" s="79"/>
      <c r="J1308" s="79"/>
      <c r="M1308" s="104"/>
      <c r="P1308" s="79"/>
      <c r="S1308" s="79"/>
      <c r="V1308" s="79"/>
    </row>
    <row r="1309" spans="7:22" x14ac:dyDescent="0.2">
      <c r="G1309" s="79"/>
      <c r="J1309" s="79"/>
      <c r="M1309" s="104"/>
      <c r="P1309" s="79"/>
      <c r="S1309" s="79"/>
      <c r="V1309" s="79"/>
    </row>
    <row r="1310" spans="7:22" x14ac:dyDescent="0.2">
      <c r="G1310" s="79"/>
      <c r="J1310" s="79"/>
      <c r="M1310" s="104"/>
      <c r="P1310" s="79"/>
      <c r="S1310" s="79"/>
      <c r="V1310" s="79"/>
    </row>
    <row r="1311" spans="7:22" x14ac:dyDescent="0.2">
      <c r="G1311" s="79"/>
      <c r="J1311" s="79"/>
      <c r="M1311" s="104"/>
      <c r="P1311" s="79"/>
      <c r="S1311" s="79"/>
      <c r="V1311" s="79"/>
    </row>
    <row r="1312" spans="7:22" x14ac:dyDescent="0.2">
      <c r="G1312" s="79"/>
      <c r="J1312" s="79"/>
      <c r="M1312" s="104"/>
      <c r="P1312" s="79"/>
      <c r="S1312" s="79"/>
      <c r="V1312" s="79"/>
    </row>
    <row r="1313" spans="7:22" x14ac:dyDescent="0.2">
      <c r="G1313" s="79"/>
      <c r="J1313" s="79"/>
      <c r="M1313" s="104"/>
      <c r="P1313" s="79"/>
      <c r="S1313" s="79"/>
      <c r="V1313" s="79"/>
    </row>
    <row r="1314" spans="7:22" x14ac:dyDescent="0.2">
      <c r="G1314" s="79"/>
      <c r="J1314" s="79"/>
      <c r="M1314" s="104"/>
      <c r="P1314" s="79"/>
      <c r="S1314" s="79"/>
      <c r="V1314" s="79"/>
    </row>
    <row r="1315" spans="7:22" x14ac:dyDescent="0.2">
      <c r="G1315" s="79"/>
      <c r="J1315" s="79"/>
      <c r="M1315" s="104"/>
      <c r="P1315" s="79"/>
      <c r="S1315" s="79"/>
      <c r="V1315" s="79"/>
    </row>
    <row r="1316" spans="7:22" x14ac:dyDescent="0.2">
      <c r="G1316" s="79"/>
      <c r="J1316" s="79"/>
      <c r="M1316" s="104"/>
      <c r="P1316" s="79"/>
      <c r="S1316" s="79"/>
      <c r="V1316" s="79"/>
    </row>
    <row r="1317" spans="7:22" x14ac:dyDescent="0.2">
      <c r="G1317" s="79"/>
      <c r="J1317" s="79"/>
      <c r="M1317" s="104"/>
      <c r="P1317" s="79"/>
      <c r="S1317" s="79"/>
      <c r="V1317" s="79"/>
    </row>
    <row r="1318" spans="7:22" x14ac:dyDescent="0.2">
      <c r="G1318" s="79"/>
      <c r="J1318" s="79"/>
      <c r="M1318" s="104"/>
      <c r="P1318" s="79"/>
      <c r="S1318" s="79"/>
      <c r="V1318" s="79"/>
    </row>
    <row r="1319" spans="7:22" x14ac:dyDescent="0.2">
      <c r="G1319" s="79"/>
      <c r="J1319" s="79"/>
      <c r="M1319" s="104"/>
      <c r="P1319" s="79"/>
      <c r="S1319" s="79"/>
      <c r="V1319" s="79"/>
    </row>
    <row r="1320" spans="7:22" x14ac:dyDescent="0.2">
      <c r="G1320" s="79"/>
      <c r="J1320" s="79"/>
      <c r="M1320" s="104"/>
      <c r="P1320" s="79"/>
      <c r="S1320" s="79"/>
      <c r="V1320" s="79"/>
    </row>
    <row r="1321" spans="7:22" x14ac:dyDescent="0.2">
      <c r="G1321" s="79"/>
      <c r="J1321" s="79"/>
      <c r="M1321" s="104"/>
      <c r="P1321" s="79"/>
      <c r="S1321" s="79"/>
      <c r="V1321" s="79"/>
    </row>
    <row r="1322" spans="7:22" x14ac:dyDescent="0.2">
      <c r="G1322" s="79"/>
      <c r="J1322" s="79"/>
      <c r="M1322" s="104"/>
      <c r="P1322" s="79"/>
      <c r="S1322" s="79"/>
      <c r="V1322" s="79"/>
    </row>
    <row r="1323" spans="7:22" x14ac:dyDescent="0.2">
      <c r="G1323" s="79"/>
      <c r="J1323" s="79"/>
      <c r="M1323" s="104"/>
      <c r="P1323" s="79"/>
      <c r="S1323" s="79"/>
      <c r="V1323" s="79"/>
    </row>
    <row r="1324" spans="7:22" x14ac:dyDescent="0.2">
      <c r="G1324" s="79"/>
      <c r="J1324" s="79"/>
      <c r="M1324" s="104"/>
      <c r="P1324" s="79"/>
      <c r="S1324" s="79"/>
      <c r="V1324" s="79"/>
    </row>
    <row r="1325" spans="7:22" x14ac:dyDescent="0.2">
      <c r="G1325" s="79"/>
      <c r="J1325" s="79"/>
      <c r="M1325" s="104"/>
      <c r="P1325" s="79"/>
      <c r="S1325" s="79"/>
      <c r="V1325" s="79"/>
    </row>
    <row r="1326" spans="7:22" x14ac:dyDescent="0.2">
      <c r="G1326" s="79"/>
      <c r="J1326" s="79"/>
      <c r="M1326" s="104"/>
      <c r="P1326" s="79"/>
      <c r="S1326" s="79"/>
      <c r="V1326" s="79"/>
    </row>
    <row r="1327" spans="7:22" x14ac:dyDescent="0.2">
      <c r="G1327" s="79"/>
      <c r="J1327" s="79"/>
      <c r="M1327" s="104"/>
      <c r="P1327" s="79"/>
      <c r="S1327" s="79"/>
      <c r="V1327" s="79"/>
    </row>
    <row r="1328" spans="7:22" x14ac:dyDescent="0.2">
      <c r="G1328" s="79"/>
      <c r="J1328" s="79"/>
      <c r="M1328" s="104"/>
      <c r="P1328" s="79"/>
      <c r="S1328" s="79"/>
      <c r="V1328" s="79"/>
    </row>
    <row r="1329" spans="7:22" x14ac:dyDescent="0.2">
      <c r="G1329" s="79"/>
      <c r="J1329" s="79"/>
      <c r="M1329" s="104"/>
      <c r="P1329" s="79"/>
      <c r="S1329" s="79"/>
      <c r="V1329" s="79"/>
    </row>
    <row r="1330" spans="7:22" x14ac:dyDescent="0.2">
      <c r="G1330" s="79"/>
      <c r="J1330" s="79"/>
      <c r="M1330" s="104"/>
      <c r="P1330" s="79"/>
      <c r="S1330" s="79"/>
      <c r="V1330" s="79"/>
    </row>
    <row r="1331" spans="7:22" x14ac:dyDescent="0.2">
      <c r="G1331" s="79"/>
      <c r="J1331" s="79"/>
      <c r="M1331" s="104"/>
      <c r="P1331" s="79"/>
      <c r="S1331" s="79"/>
      <c r="V1331" s="79"/>
    </row>
    <row r="1332" spans="7:22" x14ac:dyDescent="0.2">
      <c r="G1332" s="79"/>
      <c r="J1332" s="79"/>
      <c r="M1332" s="104"/>
      <c r="P1332" s="79"/>
      <c r="S1332" s="79"/>
      <c r="V1332" s="79"/>
    </row>
    <row r="1333" spans="7:22" x14ac:dyDescent="0.2">
      <c r="G1333" s="79"/>
      <c r="J1333" s="79"/>
      <c r="M1333" s="104"/>
      <c r="P1333" s="79"/>
      <c r="S1333" s="79"/>
      <c r="V1333" s="79"/>
    </row>
    <row r="1334" spans="7:22" x14ac:dyDescent="0.2">
      <c r="G1334" s="79"/>
      <c r="J1334" s="79"/>
      <c r="M1334" s="104"/>
      <c r="P1334" s="79"/>
      <c r="S1334" s="79"/>
      <c r="V1334" s="79"/>
    </row>
    <row r="1335" spans="7:22" x14ac:dyDescent="0.2">
      <c r="G1335" s="79"/>
      <c r="J1335" s="79"/>
      <c r="M1335" s="104"/>
      <c r="P1335" s="79"/>
      <c r="S1335" s="79"/>
      <c r="V1335" s="79"/>
    </row>
    <row r="1336" spans="7:22" x14ac:dyDescent="0.2">
      <c r="G1336" s="79"/>
      <c r="J1336" s="79"/>
      <c r="M1336" s="104"/>
      <c r="P1336" s="79"/>
      <c r="S1336" s="79"/>
      <c r="V1336" s="79"/>
    </row>
    <row r="1337" spans="7:22" x14ac:dyDescent="0.2">
      <c r="G1337" s="79"/>
      <c r="J1337" s="79"/>
      <c r="M1337" s="104"/>
      <c r="P1337" s="79"/>
      <c r="S1337" s="79"/>
      <c r="V1337" s="79"/>
    </row>
    <row r="1338" spans="7:22" x14ac:dyDescent="0.2">
      <c r="G1338" s="79"/>
      <c r="J1338" s="79"/>
      <c r="M1338" s="104"/>
      <c r="P1338" s="79"/>
      <c r="S1338" s="79"/>
      <c r="V1338" s="79"/>
    </row>
    <row r="1339" spans="7:22" x14ac:dyDescent="0.2">
      <c r="G1339" s="79"/>
      <c r="J1339" s="79"/>
      <c r="M1339" s="104"/>
      <c r="P1339" s="79"/>
      <c r="S1339" s="79"/>
      <c r="V1339" s="79"/>
    </row>
    <row r="1340" spans="7:22" x14ac:dyDescent="0.2">
      <c r="G1340" s="79"/>
      <c r="J1340" s="79"/>
      <c r="M1340" s="104"/>
      <c r="P1340" s="79"/>
      <c r="S1340" s="79"/>
      <c r="V1340" s="79"/>
    </row>
    <row r="1341" spans="7:22" x14ac:dyDescent="0.2">
      <c r="G1341" s="79"/>
      <c r="J1341" s="79"/>
      <c r="M1341" s="104"/>
      <c r="P1341" s="79"/>
      <c r="S1341" s="79"/>
      <c r="V1341" s="79"/>
    </row>
    <row r="1342" spans="7:22" x14ac:dyDescent="0.2">
      <c r="G1342" s="79"/>
      <c r="J1342" s="79"/>
      <c r="M1342" s="104"/>
      <c r="P1342" s="79"/>
      <c r="S1342" s="79"/>
      <c r="V1342" s="79"/>
    </row>
    <row r="1343" spans="7:22" x14ac:dyDescent="0.2">
      <c r="G1343" s="79"/>
      <c r="J1343" s="79"/>
      <c r="M1343" s="104"/>
      <c r="P1343" s="79"/>
      <c r="S1343" s="79"/>
      <c r="V1343" s="79"/>
    </row>
    <row r="1344" spans="7:22" x14ac:dyDescent="0.2">
      <c r="G1344" s="79"/>
      <c r="J1344" s="79"/>
      <c r="M1344" s="104"/>
      <c r="P1344" s="79"/>
      <c r="S1344" s="79"/>
      <c r="V1344" s="79"/>
    </row>
    <row r="1345" spans="7:22" x14ac:dyDescent="0.2">
      <c r="G1345" s="79"/>
      <c r="J1345" s="79"/>
      <c r="M1345" s="104"/>
      <c r="P1345" s="79"/>
      <c r="S1345" s="79"/>
      <c r="V1345" s="79"/>
    </row>
    <row r="1346" spans="7:22" x14ac:dyDescent="0.2">
      <c r="G1346" s="79"/>
      <c r="J1346" s="79"/>
      <c r="M1346" s="104"/>
      <c r="P1346" s="79"/>
      <c r="S1346" s="79"/>
      <c r="V1346" s="79"/>
    </row>
    <row r="1347" spans="7:22" x14ac:dyDescent="0.2">
      <c r="G1347" s="79"/>
      <c r="J1347" s="79"/>
      <c r="M1347" s="104"/>
      <c r="P1347" s="79"/>
      <c r="S1347" s="79"/>
      <c r="V1347" s="79"/>
    </row>
    <row r="1348" spans="7:22" x14ac:dyDescent="0.2">
      <c r="G1348" s="79"/>
      <c r="J1348" s="79"/>
      <c r="M1348" s="104"/>
      <c r="P1348" s="79"/>
      <c r="S1348" s="79"/>
      <c r="V1348" s="79"/>
    </row>
    <row r="1349" spans="7:22" x14ac:dyDescent="0.2">
      <c r="G1349" s="79"/>
      <c r="J1349" s="79"/>
      <c r="M1349" s="104"/>
      <c r="P1349" s="79"/>
      <c r="S1349" s="79"/>
      <c r="V1349" s="79"/>
    </row>
    <row r="1350" spans="7:22" x14ac:dyDescent="0.2">
      <c r="G1350" s="79"/>
      <c r="J1350" s="79"/>
      <c r="M1350" s="104"/>
      <c r="P1350" s="79"/>
      <c r="S1350" s="79"/>
      <c r="V1350" s="79"/>
    </row>
    <row r="1351" spans="7:22" x14ac:dyDescent="0.2">
      <c r="G1351" s="79"/>
      <c r="J1351" s="79"/>
      <c r="M1351" s="104"/>
      <c r="P1351" s="79"/>
      <c r="S1351" s="79"/>
      <c r="V1351" s="79"/>
    </row>
    <row r="1352" spans="7:22" x14ac:dyDescent="0.2">
      <c r="G1352" s="79"/>
      <c r="J1352" s="79"/>
      <c r="M1352" s="104"/>
      <c r="P1352" s="79"/>
      <c r="S1352" s="79"/>
      <c r="V1352" s="79"/>
    </row>
    <row r="1353" spans="7:22" x14ac:dyDescent="0.2">
      <c r="G1353" s="79"/>
      <c r="J1353" s="79"/>
      <c r="M1353" s="104"/>
      <c r="P1353" s="79"/>
      <c r="S1353" s="79"/>
      <c r="V1353" s="79"/>
    </row>
    <row r="1354" spans="7:22" x14ac:dyDescent="0.2">
      <c r="G1354" s="79"/>
      <c r="J1354" s="79"/>
      <c r="M1354" s="104"/>
      <c r="P1354" s="79"/>
      <c r="S1354" s="79"/>
      <c r="V1354" s="79"/>
    </row>
    <row r="1355" spans="7:22" x14ac:dyDescent="0.2">
      <c r="G1355" s="79"/>
      <c r="J1355" s="79"/>
      <c r="M1355" s="104"/>
      <c r="P1355" s="79"/>
      <c r="S1355" s="79"/>
      <c r="V1355" s="79"/>
    </row>
    <row r="1356" spans="7:22" x14ac:dyDescent="0.2">
      <c r="G1356" s="79"/>
      <c r="J1356" s="79"/>
      <c r="M1356" s="104"/>
      <c r="P1356" s="79"/>
      <c r="S1356" s="79"/>
      <c r="V1356" s="79"/>
    </row>
    <row r="1357" spans="7:22" x14ac:dyDescent="0.2">
      <c r="G1357" s="79"/>
      <c r="J1357" s="79"/>
      <c r="M1357" s="104"/>
      <c r="P1357" s="79"/>
      <c r="S1357" s="79"/>
      <c r="V1357" s="79"/>
    </row>
    <row r="1358" spans="7:22" x14ac:dyDescent="0.2">
      <c r="G1358" s="79"/>
      <c r="J1358" s="79"/>
      <c r="M1358" s="104"/>
      <c r="P1358" s="79"/>
      <c r="S1358" s="79"/>
      <c r="V1358" s="79"/>
    </row>
    <row r="1359" spans="7:22" x14ac:dyDescent="0.2">
      <c r="G1359" s="79"/>
      <c r="J1359" s="79"/>
      <c r="M1359" s="104"/>
      <c r="P1359" s="79"/>
      <c r="S1359" s="79"/>
      <c r="V1359" s="79"/>
    </row>
    <row r="1360" spans="7:22" x14ac:dyDescent="0.2">
      <c r="G1360" s="79"/>
      <c r="J1360" s="79"/>
      <c r="M1360" s="104"/>
      <c r="P1360" s="79"/>
      <c r="S1360" s="79"/>
      <c r="V1360" s="79"/>
    </row>
    <row r="1361" spans="7:22" x14ac:dyDescent="0.2">
      <c r="G1361" s="79"/>
      <c r="J1361" s="79"/>
      <c r="M1361" s="104"/>
      <c r="P1361" s="79"/>
      <c r="S1361" s="79"/>
      <c r="V1361" s="79"/>
    </row>
    <row r="1362" spans="7:22" x14ac:dyDescent="0.2">
      <c r="G1362" s="79"/>
      <c r="J1362" s="79"/>
      <c r="M1362" s="104"/>
      <c r="P1362" s="79"/>
      <c r="S1362" s="79"/>
      <c r="V1362" s="79"/>
    </row>
    <row r="1363" spans="7:22" x14ac:dyDescent="0.2">
      <c r="G1363" s="79"/>
      <c r="J1363" s="79"/>
      <c r="M1363" s="104"/>
      <c r="P1363" s="79"/>
      <c r="S1363" s="79"/>
      <c r="V1363" s="79"/>
    </row>
    <row r="1364" spans="7:22" x14ac:dyDescent="0.2">
      <c r="G1364" s="79"/>
      <c r="J1364" s="79"/>
      <c r="M1364" s="104"/>
      <c r="P1364" s="79"/>
      <c r="S1364" s="79"/>
      <c r="V1364" s="79"/>
    </row>
    <row r="1365" spans="7:22" x14ac:dyDescent="0.2">
      <c r="G1365" s="79"/>
      <c r="J1365" s="79"/>
      <c r="M1365" s="104"/>
      <c r="P1365" s="79"/>
      <c r="S1365" s="79"/>
      <c r="V1365" s="79"/>
    </row>
    <row r="1366" spans="7:22" x14ac:dyDescent="0.2">
      <c r="G1366" s="79"/>
      <c r="J1366" s="79"/>
      <c r="M1366" s="104"/>
      <c r="P1366" s="79"/>
      <c r="S1366" s="79"/>
      <c r="V1366" s="79"/>
    </row>
    <row r="1367" spans="7:22" x14ac:dyDescent="0.2">
      <c r="G1367" s="79"/>
      <c r="J1367" s="79"/>
      <c r="M1367" s="104"/>
      <c r="P1367" s="79"/>
      <c r="S1367" s="79"/>
      <c r="V1367" s="79"/>
    </row>
    <row r="1368" spans="7:22" x14ac:dyDescent="0.2">
      <c r="G1368" s="79"/>
      <c r="J1368" s="79"/>
      <c r="M1368" s="104"/>
      <c r="P1368" s="79"/>
      <c r="S1368" s="79"/>
      <c r="V1368" s="79"/>
    </row>
    <row r="1369" spans="7:22" x14ac:dyDescent="0.2">
      <c r="G1369" s="79"/>
      <c r="J1369" s="79"/>
      <c r="M1369" s="104"/>
      <c r="P1369" s="79"/>
      <c r="S1369" s="79"/>
      <c r="V1369" s="79"/>
    </row>
    <row r="1370" spans="7:22" x14ac:dyDescent="0.2">
      <c r="G1370" s="79"/>
      <c r="J1370" s="79"/>
      <c r="M1370" s="104"/>
      <c r="P1370" s="79"/>
      <c r="S1370" s="79"/>
      <c r="V1370" s="79"/>
    </row>
    <row r="1371" spans="7:22" x14ac:dyDescent="0.2">
      <c r="G1371" s="79"/>
      <c r="J1371" s="79"/>
      <c r="M1371" s="104"/>
      <c r="P1371" s="79"/>
      <c r="S1371" s="79"/>
      <c r="V1371" s="79"/>
    </row>
    <row r="1372" spans="7:22" x14ac:dyDescent="0.2">
      <c r="G1372" s="79"/>
      <c r="J1372" s="79"/>
      <c r="M1372" s="104"/>
      <c r="P1372" s="79"/>
      <c r="S1372" s="79"/>
      <c r="V1372" s="79"/>
    </row>
    <row r="1373" spans="7:22" x14ac:dyDescent="0.2">
      <c r="G1373" s="79"/>
      <c r="J1373" s="79"/>
      <c r="M1373" s="104"/>
      <c r="P1373" s="79"/>
      <c r="S1373" s="79"/>
      <c r="V1373" s="79"/>
    </row>
    <row r="1374" spans="7:22" x14ac:dyDescent="0.2">
      <c r="G1374" s="79"/>
      <c r="J1374" s="79"/>
      <c r="M1374" s="104"/>
      <c r="P1374" s="79"/>
      <c r="S1374" s="79"/>
      <c r="V1374" s="79"/>
    </row>
    <row r="1375" spans="7:22" x14ac:dyDescent="0.2">
      <c r="G1375" s="79"/>
      <c r="J1375" s="79"/>
      <c r="M1375" s="104"/>
      <c r="P1375" s="79"/>
      <c r="S1375" s="79"/>
      <c r="V1375" s="79"/>
    </row>
    <row r="1376" spans="7:22" x14ac:dyDescent="0.2">
      <c r="G1376" s="79"/>
      <c r="J1376" s="79"/>
      <c r="M1376" s="104"/>
      <c r="P1376" s="79"/>
      <c r="S1376" s="79"/>
      <c r="V1376" s="79"/>
    </row>
    <row r="1377" spans="7:22" x14ac:dyDescent="0.2">
      <c r="G1377" s="79"/>
      <c r="J1377" s="79"/>
      <c r="M1377" s="104"/>
      <c r="P1377" s="79"/>
      <c r="S1377" s="79"/>
      <c r="V1377" s="79"/>
    </row>
    <row r="1378" spans="7:22" x14ac:dyDescent="0.2">
      <c r="G1378" s="79"/>
      <c r="J1378" s="79"/>
      <c r="M1378" s="104"/>
      <c r="P1378" s="79"/>
      <c r="S1378" s="79"/>
      <c r="V1378" s="79"/>
    </row>
    <row r="1379" spans="7:22" x14ac:dyDescent="0.2">
      <c r="G1379" s="79"/>
      <c r="J1379" s="79"/>
      <c r="M1379" s="104"/>
      <c r="P1379" s="79"/>
      <c r="S1379" s="79"/>
      <c r="V1379" s="79"/>
    </row>
    <row r="1380" spans="7:22" x14ac:dyDescent="0.2">
      <c r="G1380" s="79"/>
      <c r="J1380" s="79"/>
      <c r="M1380" s="104"/>
      <c r="P1380" s="79"/>
      <c r="S1380" s="79"/>
      <c r="V1380" s="79"/>
    </row>
    <row r="1381" spans="7:22" x14ac:dyDescent="0.2">
      <c r="G1381" s="79"/>
      <c r="J1381" s="79"/>
      <c r="M1381" s="104"/>
      <c r="P1381" s="79"/>
      <c r="S1381" s="79"/>
      <c r="V1381" s="79"/>
    </row>
    <row r="1382" spans="7:22" x14ac:dyDescent="0.2">
      <c r="G1382" s="79"/>
      <c r="J1382" s="79"/>
      <c r="M1382" s="104"/>
      <c r="P1382" s="79"/>
      <c r="S1382" s="79"/>
      <c r="V1382" s="79"/>
    </row>
    <row r="1383" spans="7:22" x14ac:dyDescent="0.2">
      <c r="G1383" s="79"/>
      <c r="J1383" s="79"/>
      <c r="M1383" s="104"/>
      <c r="P1383" s="79"/>
      <c r="S1383" s="79"/>
      <c r="V1383" s="79"/>
    </row>
    <row r="1384" spans="7:22" x14ac:dyDescent="0.2">
      <c r="G1384" s="79"/>
      <c r="J1384" s="79"/>
      <c r="M1384" s="104"/>
      <c r="P1384" s="79"/>
      <c r="S1384" s="79"/>
      <c r="V1384" s="79"/>
    </row>
    <row r="1385" spans="7:22" x14ac:dyDescent="0.2">
      <c r="G1385" s="79"/>
      <c r="J1385" s="79"/>
      <c r="M1385" s="104"/>
      <c r="P1385" s="79"/>
      <c r="S1385" s="79"/>
      <c r="V1385" s="79"/>
    </row>
    <row r="1386" spans="7:22" x14ac:dyDescent="0.2">
      <c r="G1386" s="79"/>
      <c r="J1386" s="79"/>
      <c r="M1386" s="104"/>
      <c r="P1386" s="79"/>
      <c r="S1386" s="79"/>
      <c r="V1386" s="79"/>
    </row>
    <row r="1387" spans="7:22" x14ac:dyDescent="0.2">
      <c r="G1387" s="79"/>
      <c r="J1387" s="79"/>
      <c r="M1387" s="104"/>
      <c r="P1387" s="79"/>
      <c r="S1387" s="79"/>
      <c r="V1387" s="79"/>
    </row>
    <row r="1388" spans="7:22" x14ac:dyDescent="0.2">
      <c r="G1388" s="79"/>
      <c r="J1388" s="79"/>
      <c r="M1388" s="104"/>
      <c r="P1388" s="79"/>
      <c r="S1388" s="79"/>
      <c r="V1388" s="79"/>
    </row>
    <row r="1389" spans="7:22" x14ac:dyDescent="0.2">
      <c r="G1389" s="79"/>
      <c r="J1389" s="79"/>
      <c r="M1389" s="104"/>
      <c r="P1389" s="79"/>
      <c r="S1389" s="79"/>
      <c r="V1389" s="79"/>
    </row>
    <row r="1390" spans="7:22" x14ac:dyDescent="0.2">
      <c r="G1390" s="79"/>
      <c r="J1390" s="79"/>
      <c r="M1390" s="104"/>
      <c r="P1390" s="79"/>
      <c r="S1390" s="79"/>
      <c r="V1390" s="79"/>
    </row>
    <row r="1391" spans="7:22" x14ac:dyDescent="0.2">
      <c r="G1391" s="79"/>
      <c r="J1391" s="79"/>
      <c r="M1391" s="104"/>
      <c r="P1391" s="79"/>
      <c r="S1391" s="79"/>
      <c r="V1391" s="79"/>
    </row>
    <row r="1392" spans="7:22" x14ac:dyDescent="0.2">
      <c r="G1392" s="79"/>
      <c r="J1392" s="79"/>
      <c r="M1392" s="104"/>
      <c r="P1392" s="79"/>
      <c r="S1392" s="79"/>
      <c r="V1392" s="79"/>
    </row>
    <row r="1393" spans="7:22" x14ac:dyDescent="0.2">
      <c r="G1393" s="79"/>
      <c r="J1393" s="79"/>
      <c r="M1393" s="104"/>
      <c r="P1393" s="79"/>
      <c r="S1393" s="79"/>
      <c r="V1393" s="79"/>
    </row>
    <row r="1394" spans="7:22" x14ac:dyDescent="0.2">
      <c r="G1394" s="79"/>
      <c r="J1394" s="79"/>
      <c r="M1394" s="104"/>
      <c r="P1394" s="79"/>
      <c r="S1394" s="79"/>
      <c r="V1394" s="79"/>
    </row>
    <row r="1395" spans="7:22" x14ac:dyDescent="0.2">
      <c r="G1395" s="79"/>
      <c r="J1395" s="79"/>
      <c r="M1395" s="104"/>
      <c r="P1395" s="79"/>
      <c r="S1395" s="79"/>
      <c r="V1395" s="79"/>
    </row>
    <row r="1396" spans="7:22" x14ac:dyDescent="0.2">
      <c r="G1396" s="79"/>
      <c r="J1396" s="79"/>
      <c r="M1396" s="104"/>
      <c r="P1396" s="79"/>
      <c r="S1396" s="79"/>
      <c r="V1396" s="79"/>
    </row>
    <row r="1397" spans="7:22" x14ac:dyDescent="0.2">
      <c r="G1397" s="79"/>
      <c r="J1397" s="79"/>
      <c r="M1397" s="104"/>
      <c r="P1397" s="79"/>
      <c r="S1397" s="79"/>
      <c r="V1397" s="79"/>
    </row>
    <row r="1398" spans="7:22" x14ac:dyDescent="0.2">
      <c r="G1398" s="79"/>
      <c r="J1398" s="79"/>
      <c r="M1398" s="104"/>
      <c r="P1398" s="79"/>
      <c r="S1398" s="79"/>
      <c r="V1398" s="79"/>
    </row>
    <row r="1399" spans="7:22" x14ac:dyDescent="0.2">
      <c r="G1399" s="79"/>
      <c r="J1399" s="79"/>
      <c r="M1399" s="104"/>
      <c r="P1399" s="79"/>
      <c r="S1399" s="79"/>
      <c r="V1399" s="79"/>
    </row>
    <row r="1400" spans="7:22" x14ac:dyDescent="0.2">
      <c r="G1400" s="79"/>
      <c r="J1400" s="79"/>
      <c r="M1400" s="104"/>
      <c r="P1400" s="79"/>
      <c r="S1400" s="79"/>
      <c r="V1400" s="79"/>
    </row>
    <row r="1401" spans="7:22" x14ac:dyDescent="0.2">
      <c r="G1401" s="79"/>
      <c r="J1401" s="79"/>
      <c r="M1401" s="104"/>
      <c r="P1401" s="79"/>
      <c r="S1401" s="79"/>
      <c r="V1401" s="79"/>
    </row>
    <row r="1402" spans="7:22" x14ac:dyDescent="0.2">
      <c r="G1402" s="79"/>
      <c r="J1402" s="79"/>
      <c r="M1402" s="104"/>
      <c r="P1402" s="79"/>
      <c r="S1402" s="79"/>
      <c r="V1402" s="79"/>
    </row>
    <row r="1403" spans="7:22" x14ac:dyDescent="0.2">
      <c r="G1403" s="79"/>
      <c r="J1403" s="79"/>
      <c r="M1403" s="104"/>
      <c r="P1403" s="79"/>
      <c r="S1403" s="79"/>
      <c r="V1403" s="79"/>
    </row>
    <row r="1404" spans="7:22" x14ac:dyDescent="0.2">
      <c r="G1404" s="79"/>
      <c r="J1404" s="79"/>
      <c r="M1404" s="104"/>
      <c r="P1404" s="79"/>
      <c r="S1404" s="79"/>
      <c r="V1404" s="79"/>
    </row>
    <row r="1405" spans="7:22" x14ac:dyDescent="0.2">
      <c r="G1405" s="79"/>
      <c r="J1405" s="79"/>
      <c r="M1405" s="104"/>
      <c r="P1405" s="79"/>
      <c r="S1405" s="79"/>
      <c r="V1405" s="79"/>
    </row>
    <row r="1406" spans="7:22" x14ac:dyDescent="0.2">
      <c r="G1406" s="79"/>
      <c r="J1406" s="79"/>
      <c r="M1406" s="104"/>
      <c r="P1406" s="79"/>
      <c r="S1406" s="79"/>
      <c r="V1406" s="79"/>
    </row>
    <row r="1407" spans="7:22" x14ac:dyDescent="0.2">
      <c r="G1407" s="79"/>
      <c r="J1407" s="79"/>
      <c r="M1407" s="104"/>
      <c r="P1407" s="79"/>
      <c r="S1407" s="79"/>
      <c r="V1407" s="79"/>
    </row>
    <row r="1408" spans="7:22" x14ac:dyDescent="0.2">
      <c r="G1408" s="79"/>
      <c r="J1408" s="79"/>
      <c r="M1408" s="104"/>
      <c r="P1408" s="79"/>
      <c r="S1408" s="79"/>
      <c r="V1408" s="79"/>
    </row>
    <row r="1409" spans="7:22" x14ac:dyDescent="0.2">
      <c r="G1409" s="79"/>
      <c r="J1409" s="79"/>
      <c r="M1409" s="104"/>
      <c r="P1409" s="79"/>
      <c r="S1409" s="79"/>
      <c r="V1409" s="79"/>
    </row>
    <row r="1410" spans="7:22" x14ac:dyDescent="0.2">
      <c r="G1410" s="79"/>
      <c r="J1410" s="79"/>
      <c r="M1410" s="104"/>
      <c r="P1410" s="79"/>
      <c r="S1410" s="79"/>
      <c r="V1410" s="79"/>
    </row>
    <row r="1411" spans="7:22" x14ac:dyDescent="0.2">
      <c r="G1411" s="79"/>
      <c r="J1411" s="79"/>
      <c r="M1411" s="104"/>
      <c r="P1411" s="79"/>
      <c r="S1411" s="79"/>
      <c r="V1411" s="79"/>
    </row>
    <row r="1412" spans="7:22" x14ac:dyDescent="0.2">
      <c r="G1412" s="79"/>
      <c r="J1412" s="79"/>
      <c r="M1412" s="104"/>
      <c r="P1412" s="79"/>
      <c r="S1412" s="79"/>
      <c r="V1412" s="79"/>
    </row>
    <row r="1413" spans="7:22" x14ac:dyDescent="0.2">
      <c r="G1413" s="79"/>
      <c r="J1413" s="79"/>
      <c r="M1413" s="104"/>
      <c r="P1413" s="79"/>
      <c r="S1413" s="79"/>
      <c r="V1413" s="79"/>
    </row>
    <row r="1414" spans="7:22" x14ac:dyDescent="0.2">
      <c r="G1414" s="79"/>
      <c r="J1414" s="79"/>
      <c r="M1414" s="104"/>
      <c r="P1414" s="79"/>
      <c r="S1414" s="79"/>
      <c r="V1414" s="79"/>
    </row>
    <row r="1415" spans="7:22" x14ac:dyDescent="0.2">
      <c r="G1415" s="79"/>
      <c r="J1415" s="79"/>
      <c r="M1415" s="104"/>
      <c r="P1415" s="79"/>
      <c r="S1415" s="79"/>
      <c r="V1415" s="79"/>
    </row>
    <row r="1416" spans="7:22" x14ac:dyDescent="0.2">
      <c r="G1416" s="79"/>
      <c r="J1416" s="79"/>
      <c r="M1416" s="104"/>
      <c r="P1416" s="79"/>
      <c r="S1416" s="79"/>
      <c r="V1416" s="79"/>
    </row>
    <row r="1417" spans="7:22" x14ac:dyDescent="0.2">
      <c r="G1417" s="79"/>
      <c r="J1417" s="79"/>
      <c r="M1417" s="104"/>
      <c r="P1417" s="79"/>
      <c r="S1417" s="79"/>
      <c r="V1417" s="79"/>
    </row>
    <row r="1418" spans="7:22" x14ac:dyDescent="0.2">
      <c r="G1418" s="79"/>
      <c r="J1418" s="79"/>
      <c r="M1418" s="104"/>
      <c r="P1418" s="79"/>
      <c r="S1418" s="79"/>
      <c r="V1418" s="79"/>
    </row>
    <row r="1419" spans="7:22" x14ac:dyDescent="0.2">
      <c r="G1419" s="79"/>
      <c r="J1419" s="79"/>
      <c r="M1419" s="104"/>
      <c r="P1419" s="79"/>
      <c r="S1419" s="79"/>
      <c r="V1419" s="79"/>
    </row>
    <row r="1420" spans="7:22" x14ac:dyDescent="0.2">
      <c r="G1420" s="79"/>
      <c r="J1420" s="79"/>
      <c r="M1420" s="104"/>
      <c r="P1420" s="79"/>
      <c r="S1420" s="79"/>
      <c r="V1420" s="79"/>
    </row>
    <row r="1421" spans="7:22" x14ac:dyDescent="0.2">
      <c r="G1421" s="79"/>
      <c r="J1421" s="79"/>
      <c r="M1421" s="104"/>
      <c r="P1421" s="79"/>
      <c r="S1421" s="79"/>
      <c r="V1421" s="79"/>
    </row>
    <row r="1422" spans="7:22" x14ac:dyDescent="0.2">
      <c r="G1422" s="79"/>
      <c r="J1422" s="79"/>
      <c r="M1422" s="104"/>
      <c r="P1422" s="79"/>
      <c r="S1422" s="79"/>
      <c r="V1422" s="79"/>
    </row>
    <row r="1423" spans="7:22" x14ac:dyDescent="0.2">
      <c r="G1423" s="79"/>
      <c r="J1423" s="79"/>
      <c r="M1423" s="104"/>
      <c r="P1423" s="79"/>
      <c r="S1423" s="79"/>
      <c r="V1423" s="79"/>
    </row>
    <row r="1424" spans="7:22" x14ac:dyDescent="0.2">
      <c r="G1424" s="79"/>
      <c r="J1424" s="79"/>
      <c r="M1424" s="104"/>
      <c r="P1424" s="79"/>
      <c r="S1424" s="79"/>
      <c r="V1424" s="79"/>
    </row>
    <row r="1425" spans="7:22" x14ac:dyDescent="0.2">
      <c r="G1425" s="79"/>
      <c r="J1425" s="79"/>
      <c r="M1425" s="104"/>
      <c r="P1425" s="79"/>
      <c r="S1425" s="79"/>
      <c r="V1425" s="79"/>
    </row>
    <row r="1426" spans="7:22" x14ac:dyDescent="0.2">
      <c r="G1426" s="79"/>
      <c r="J1426" s="79"/>
      <c r="M1426" s="104"/>
      <c r="P1426" s="79"/>
      <c r="S1426" s="79"/>
      <c r="V1426" s="79"/>
    </row>
    <row r="1427" spans="7:22" x14ac:dyDescent="0.2">
      <c r="G1427" s="79"/>
      <c r="J1427" s="79"/>
      <c r="M1427" s="104"/>
      <c r="P1427" s="79"/>
      <c r="S1427" s="79"/>
      <c r="V1427" s="79"/>
    </row>
    <row r="1428" spans="7:22" x14ac:dyDescent="0.2">
      <c r="G1428" s="79"/>
      <c r="J1428" s="79"/>
      <c r="M1428" s="104"/>
      <c r="P1428" s="79"/>
      <c r="S1428" s="79"/>
      <c r="V1428" s="79"/>
    </row>
    <row r="1429" spans="7:22" x14ac:dyDescent="0.2">
      <c r="G1429" s="79"/>
      <c r="J1429" s="79"/>
      <c r="M1429" s="104"/>
      <c r="P1429" s="79"/>
      <c r="S1429" s="79"/>
      <c r="V1429" s="79"/>
    </row>
    <row r="1430" spans="7:22" x14ac:dyDescent="0.2">
      <c r="G1430" s="79"/>
      <c r="J1430" s="79"/>
      <c r="M1430" s="104"/>
      <c r="P1430" s="79"/>
      <c r="S1430" s="79"/>
      <c r="V1430" s="79"/>
    </row>
    <row r="1431" spans="7:22" x14ac:dyDescent="0.2">
      <c r="G1431" s="79"/>
      <c r="J1431" s="79"/>
      <c r="M1431" s="104"/>
      <c r="P1431" s="79"/>
      <c r="S1431" s="79"/>
      <c r="V1431" s="79"/>
    </row>
    <row r="1432" spans="7:22" x14ac:dyDescent="0.2">
      <c r="G1432" s="79"/>
      <c r="J1432" s="79"/>
      <c r="M1432" s="104"/>
      <c r="P1432" s="79"/>
      <c r="S1432" s="79"/>
      <c r="V1432" s="79"/>
    </row>
    <row r="1433" spans="7:22" x14ac:dyDescent="0.2">
      <c r="G1433" s="79"/>
      <c r="J1433" s="79"/>
      <c r="M1433" s="104"/>
      <c r="P1433" s="79"/>
      <c r="S1433" s="79"/>
      <c r="V1433" s="79"/>
    </row>
    <row r="1434" spans="7:22" x14ac:dyDescent="0.2">
      <c r="G1434" s="79"/>
      <c r="J1434" s="79"/>
      <c r="M1434" s="104"/>
      <c r="P1434" s="79"/>
      <c r="S1434" s="79"/>
      <c r="V1434" s="79"/>
    </row>
    <row r="1435" spans="7:22" x14ac:dyDescent="0.2">
      <c r="G1435" s="79"/>
      <c r="J1435" s="79"/>
      <c r="M1435" s="104"/>
      <c r="P1435" s="79"/>
      <c r="S1435" s="79"/>
      <c r="V1435" s="79"/>
    </row>
    <row r="1436" spans="7:22" x14ac:dyDescent="0.2">
      <c r="G1436" s="79"/>
      <c r="J1436" s="79"/>
      <c r="M1436" s="104"/>
      <c r="P1436" s="79"/>
      <c r="S1436" s="79"/>
      <c r="V1436" s="79"/>
    </row>
    <row r="1437" spans="7:22" x14ac:dyDescent="0.2">
      <c r="G1437" s="79"/>
      <c r="J1437" s="79"/>
      <c r="M1437" s="104"/>
      <c r="P1437" s="79"/>
      <c r="S1437" s="79"/>
      <c r="V1437" s="79"/>
    </row>
    <row r="1438" spans="7:22" x14ac:dyDescent="0.2">
      <c r="G1438" s="79"/>
      <c r="J1438" s="79"/>
      <c r="M1438" s="104"/>
      <c r="P1438" s="79"/>
      <c r="S1438" s="79"/>
      <c r="V1438" s="79"/>
    </row>
    <row r="1439" spans="7:22" x14ac:dyDescent="0.2">
      <c r="G1439" s="79"/>
      <c r="J1439" s="79"/>
      <c r="M1439" s="104"/>
      <c r="P1439" s="79"/>
      <c r="S1439" s="79"/>
      <c r="V1439" s="79"/>
    </row>
    <row r="1440" spans="7:22" x14ac:dyDescent="0.2">
      <c r="G1440" s="79"/>
      <c r="J1440" s="79"/>
      <c r="M1440" s="104"/>
      <c r="P1440" s="79"/>
      <c r="S1440" s="79"/>
      <c r="V1440" s="79"/>
    </row>
    <row r="1441" spans="7:22" x14ac:dyDescent="0.2">
      <c r="G1441" s="79"/>
      <c r="J1441" s="79"/>
      <c r="M1441" s="104"/>
      <c r="P1441" s="79"/>
      <c r="S1441" s="79"/>
      <c r="V1441" s="79"/>
    </row>
    <row r="1442" spans="7:22" x14ac:dyDescent="0.2">
      <c r="G1442" s="79"/>
      <c r="J1442" s="79"/>
      <c r="M1442" s="104"/>
      <c r="P1442" s="79"/>
      <c r="S1442" s="79"/>
      <c r="V1442" s="79"/>
    </row>
    <row r="1443" spans="7:22" x14ac:dyDescent="0.2">
      <c r="G1443" s="79"/>
      <c r="J1443" s="79"/>
      <c r="M1443" s="104"/>
      <c r="P1443" s="79"/>
      <c r="S1443" s="79"/>
      <c r="V1443" s="79"/>
    </row>
    <row r="1444" spans="7:22" x14ac:dyDescent="0.2">
      <c r="G1444" s="79"/>
      <c r="J1444" s="79"/>
      <c r="M1444" s="104"/>
      <c r="P1444" s="79"/>
      <c r="S1444" s="79"/>
      <c r="V1444" s="79"/>
    </row>
    <row r="1445" spans="7:22" x14ac:dyDescent="0.2">
      <c r="G1445" s="79"/>
      <c r="J1445" s="79"/>
      <c r="M1445" s="104"/>
      <c r="P1445" s="79"/>
      <c r="S1445" s="79"/>
      <c r="V1445" s="79"/>
    </row>
    <row r="1446" spans="7:22" x14ac:dyDescent="0.2">
      <c r="G1446" s="79"/>
      <c r="J1446" s="79"/>
      <c r="M1446" s="104"/>
      <c r="P1446" s="79"/>
      <c r="S1446" s="79"/>
      <c r="V1446" s="79"/>
    </row>
    <row r="1447" spans="7:22" x14ac:dyDescent="0.2">
      <c r="G1447" s="79"/>
      <c r="J1447" s="79"/>
      <c r="M1447" s="104"/>
      <c r="P1447" s="79"/>
      <c r="S1447" s="79"/>
      <c r="V1447" s="79"/>
    </row>
    <row r="1448" spans="7:22" x14ac:dyDescent="0.2">
      <c r="G1448" s="79"/>
      <c r="J1448" s="79"/>
      <c r="M1448" s="104"/>
      <c r="P1448" s="79"/>
      <c r="S1448" s="79"/>
      <c r="V1448" s="79"/>
    </row>
    <row r="1449" spans="7:22" x14ac:dyDescent="0.2">
      <c r="G1449" s="79"/>
      <c r="J1449" s="79"/>
      <c r="M1449" s="104"/>
      <c r="P1449" s="79"/>
      <c r="S1449" s="79"/>
      <c r="V1449" s="79"/>
    </row>
    <row r="1450" spans="7:22" x14ac:dyDescent="0.2">
      <c r="G1450" s="79"/>
      <c r="J1450" s="79"/>
      <c r="M1450" s="104"/>
      <c r="P1450" s="79"/>
      <c r="S1450" s="79"/>
      <c r="V1450" s="79"/>
    </row>
    <row r="1451" spans="7:22" x14ac:dyDescent="0.2">
      <c r="G1451" s="79"/>
      <c r="J1451" s="79"/>
      <c r="M1451" s="104"/>
      <c r="P1451" s="79"/>
      <c r="S1451" s="79"/>
      <c r="V1451" s="79"/>
    </row>
    <row r="1452" spans="7:22" x14ac:dyDescent="0.2">
      <c r="G1452" s="79"/>
      <c r="J1452" s="79"/>
      <c r="M1452" s="104"/>
      <c r="P1452" s="79"/>
      <c r="S1452" s="79"/>
      <c r="V1452" s="79"/>
    </row>
    <row r="1453" spans="7:22" x14ac:dyDescent="0.2">
      <c r="G1453" s="79"/>
      <c r="J1453" s="79"/>
      <c r="M1453" s="104"/>
      <c r="P1453" s="79"/>
      <c r="S1453" s="79"/>
      <c r="V1453" s="79"/>
    </row>
    <row r="1454" spans="7:22" x14ac:dyDescent="0.2">
      <c r="G1454" s="79"/>
      <c r="J1454" s="79"/>
      <c r="M1454" s="104"/>
      <c r="P1454" s="79"/>
      <c r="S1454" s="79"/>
      <c r="V1454" s="79"/>
    </row>
    <row r="1455" spans="7:22" x14ac:dyDescent="0.2">
      <c r="G1455" s="79"/>
      <c r="J1455" s="79"/>
      <c r="M1455" s="104"/>
      <c r="P1455" s="79"/>
      <c r="S1455" s="79"/>
      <c r="V1455" s="79"/>
    </row>
    <row r="1456" spans="7:22" x14ac:dyDescent="0.2">
      <c r="G1456" s="79"/>
      <c r="J1456" s="79"/>
      <c r="M1456" s="104"/>
      <c r="P1456" s="79"/>
      <c r="S1456" s="79"/>
      <c r="V1456" s="79"/>
    </row>
    <row r="1457" spans="7:22" x14ac:dyDescent="0.2">
      <c r="G1457" s="79"/>
      <c r="J1457" s="79"/>
      <c r="M1457" s="104"/>
      <c r="P1457" s="79"/>
      <c r="S1457" s="79"/>
      <c r="V1457" s="79"/>
    </row>
    <row r="1458" spans="7:22" x14ac:dyDescent="0.2">
      <c r="G1458" s="79"/>
      <c r="J1458" s="79"/>
      <c r="M1458" s="104"/>
      <c r="P1458" s="79"/>
      <c r="S1458" s="79"/>
      <c r="V1458" s="79"/>
    </row>
    <row r="1459" spans="7:22" x14ac:dyDescent="0.2">
      <c r="G1459" s="79"/>
      <c r="J1459" s="79"/>
      <c r="M1459" s="104"/>
      <c r="P1459" s="79"/>
      <c r="S1459" s="79"/>
      <c r="V1459" s="79"/>
    </row>
    <row r="1460" spans="7:22" x14ac:dyDescent="0.2">
      <c r="G1460" s="79"/>
      <c r="J1460" s="79"/>
      <c r="M1460" s="104"/>
      <c r="P1460" s="79"/>
      <c r="S1460" s="79"/>
      <c r="V1460" s="79"/>
    </row>
    <row r="1461" spans="7:22" x14ac:dyDescent="0.2">
      <c r="G1461" s="79"/>
      <c r="J1461" s="79"/>
      <c r="M1461" s="104"/>
      <c r="P1461" s="79"/>
      <c r="S1461" s="79"/>
      <c r="V1461" s="79"/>
    </row>
    <row r="1462" spans="7:22" x14ac:dyDescent="0.2">
      <c r="G1462" s="79"/>
      <c r="J1462" s="79"/>
      <c r="M1462" s="104"/>
      <c r="P1462" s="79"/>
      <c r="S1462" s="79"/>
      <c r="V1462" s="79"/>
    </row>
    <row r="1463" spans="7:22" x14ac:dyDescent="0.2">
      <c r="G1463" s="79"/>
      <c r="J1463" s="79"/>
      <c r="M1463" s="104"/>
      <c r="P1463" s="79"/>
      <c r="S1463" s="79"/>
      <c r="V1463" s="79"/>
    </row>
    <row r="1464" spans="7:22" x14ac:dyDescent="0.2">
      <c r="G1464" s="79"/>
      <c r="J1464" s="79"/>
      <c r="M1464" s="104"/>
      <c r="P1464" s="79"/>
      <c r="S1464" s="79"/>
      <c r="V1464" s="79"/>
    </row>
    <row r="1465" spans="7:22" x14ac:dyDescent="0.2">
      <c r="G1465" s="79"/>
      <c r="J1465" s="79"/>
      <c r="M1465" s="104"/>
      <c r="P1465" s="79"/>
      <c r="S1465" s="79"/>
      <c r="V1465" s="79"/>
    </row>
    <row r="1466" spans="7:22" x14ac:dyDescent="0.2">
      <c r="G1466" s="79"/>
      <c r="J1466" s="79"/>
      <c r="M1466" s="104"/>
      <c r="P1466" s="79"/>
      <c r="S1466" s="79"/>
      <c r="V1466" s="79"/>
    </row>
    <row r="1467" spans="7:22" x14ac:dyDescent="0.2">
      <c r="G1467" s="79"/>
      <c r="J1467" s="79"/>
      <c r="M1467" s="104"/>
      <c r="P1467" s="79"/>
      <c r="S1467" s="79"/>
      <c r="V1467" s="79"/>
    </row>
    <row r="1468" spans="7:22" x14ac:dyDescent="0.2">
      <c r="G1468" s="79"/>
      <c r="J1468" s="79"/>
      <c r="M1468" s="104"/>
      <c r="P1468" s="79"/>
      <c r="S1468" s="79"/>
      <c r="V1468" s="79"/>
    </row>
    <row r="1469" spans="7:22" x14ac:dyDescent="0.2">
      <c r="G1469" s="79"/>
      <c r="J1469" s="79"/>
      <c r="M1469" s="104"/>
      <c r="P1469" s="79"/>
      <c r="S1469" s="79"/>
      <c r="V1469" s="79"/>
    </row>
    <row r="1470" spans="7:22" x14ac:dyDescent="0.2">
      <c r="G1470" s="79"/>
      <c r="J1470" s="79"/>
      <c r="M1470" s="104"/>
      <c r="P1470" s="79"/>
      <c r="S1470" s="79"/>
      <c r="V1470" s="79"/>
    </row>
    <row r="1471" spans="7:22" x14ac:dyDescent="0.2">
      <c r="G1471" s="79"/>
      <c r="J1471" s="79"/>
      <c r="M1471" s="104"/>
      <c r="P1471" s="79"/>
      <c r="S1471" s="79"/>
      <c r="V1471" s="79"/>
    </row>
    <row r="1472" spans="7:22" x14ac:dyDescent="0.2">
      <c r="G1472" s="79"/>
      <c r="J1472" s="79"/>
      <c r="M1472" s="104"/>
      <c r="P1472" s="79"/>
      <c r="S1472" s="79"/>
      <c r="V1472" s="79"/>
    </row>
    <row r="1473" spans="7:22" x14ac:dyDescent="0.2">
      <c r="G1473" s="79"/>
      <c r="J1473" s="79"/>
      <c r="M1473" s="104"/>
      <c r="P1473" s="79"/>
      <c r="S1473" s="79"/>
      <c r="V1473" s="79"/>
    </row>
    <row r="1474" spans="7:22" x14ac:dyDescent="0.2">
      <c r="G1474" s="79"/>
      <c r="J1474" s="79"/>
      <c r="M1474" s="104"/>
      <c r="P1474" s="79"/>
      <c r="S1474" s="79"/>
      <c r="V1474" s="79"/>
    </row>
    <row r="1475" spans="7:22" x14ac:dyDescent="0.2">
      <c r="G1475" s="79"/>
      <c r="J1475" s="79"/>
      <c r="M1475" s="104"/>
      <c r="P1475" s="79"/>
      <c r="S1475" s="79"/>
      <c r="V1475" s="79"/>
    </row>
    <row r="1476" spans="7:22" x14ac:dyDescent="0.2">
      <c r="G1476" s="79"/>
      <c r="J1476" s="79"/>
      <c r="M1476" s="104"/>
      <c r="P1476" s="79"/>
      <c r="S1476" s="79"/>
      <c r="V1476" s="79"/>
    </row>
    <row r="1477" spans="7:22" x14ac:dyDescent="0.2">
      <c r="G1477" s="79"/>
      <c r="J1477" s="79"/>
      <c r="M1477" s="104"/>
      <c r="P1477" s="79"/>
      <c r="S1477" s="79"/>
      <c r="V1477" s="79"/>
    </row>
    <row r="1478" spans="7:22" x14ac:dyDescent="0.2">
      <c r="G1478" s="79"/>
      <c r="J1478" s="79"/>
      <c r="M1478" s="104"/>
      <c r="P1478" s="79"/>
      <c r="S1478" s="79"/>
      <c r="V1478" s="79"/>
    </row>
    <row r="1479" spans="7:22" x14ac:dyDescent="0.2">
      <c r="G1479" s="79"/>
      <c r="J1479" s="79"/>
      <c r="M1479" s="104"/>
      <c r="P1479" s="79"/>
      <c r="S1479" s="79"/>
      <c r="V1479" s="79"/>
    </row>
    <row r="1480" spans="7:22" x14ac:dyDescent="0.2">
      <c r="G1480" s="79"/>
      <c r="J1480" s="79"/>
      <c r="M1480" s="104"/>
      <c r="P1480" s="79"/>
      <c r="S1480" s="79"/>
      <c r="V1480" s="79"/>
    </row>
    <row r="1481" spans="7:22" x14ac:dyDescent="0.2">
      <c r="G1481" s="79"/>
      <c r="J1481" s="79"/>
      <c r="M1481" s="104"/>
      <c r="P1481" s="79"/>
      <c r="S1481" s="79"/>
      <c r="V1481" s="79"/>
    </row>
    <row r="1482" spans="7:22" x14ac:dyDescent="0.2">
      <c r="G1482" s="79"/>
      <c r="J1482" s="79"/>
      <c r="M1482" s="104"/>
      <c r="P1482" s="79"/>
      <c r="S1482" s="79"/>
      <c r="V1482" s="79"/>
    </row>
    <row r="1483" spans="7:22" x14ac:dyDescent="0.2">
      <c r="G1483" s="79"/>
      <c r="J1483" s="79"/>
      <c r="M1483" s="104"/>
      <c r="P1483" s="79"/>
      <c r="S1483" s="79"/>
      <c r="V1483" s="79"/>
    </row>
    <row r="1484" spans="7:22" x14ac:dyDescent="0.2">
      <c r="G1484" s="79"/>
      <c r="J1484" s="79"/>
      <c r="M1484" s="104"/>
      <c r="P1484" s="79"/>
      <c r="S1484" s="79"/>
      <c r="V1484" s="79"/>
    </row>
    <row r="1485" spans="7:22" x14ac:dyDescent="0.2">
      <c r="G1485" s="79"/>
      <c r="J1485" s="79"/>
      <c r="M1485" s="104"/>
      <c r="P1485" s="79"/>
      <c r="S1485" s="79"/>
      <c r="V1485" s="79"/>
    </row>
    <row r="1486" spans="7:22" x14ac:dyDescent="0.2">
      <c r="G1486" s="79"/>
      <c r="J1486" s="79"/>
      <c r="M1486" s="104"/>
      <c r="P1486" s="79"/>
      <c r="S1486" s="79"/>
      <c r="V1486" s="79"/>
    </row>
    <row r="1487" spans="7:22" x14ac:dyDescent="0.2">
      <c r="G1487" s="79"/>
      <c r="J1487" s="79"/>
      <c r="M1487" s="104"/>
      <c r="P1487" s="79"/>
      <c r="S1487" s="79"/>
      <c r="V1487" s="79"/>
    </row>
    <row r="1488" spans="7:22" x14ac:dyDescent="0.2">
      <c r="G1488" s="79"/>
      <c r="J1488" s="79"/>
      <c r="M1488" s="104"/>
      <c r="P1488" s="79"/>
      <c r="S1488" s="79"/>
      <c r="V1488" s="79"/>
    </row>
    <row r="1489" spans="7:22" x14ac:dyDescent="0.2">
      <c r="G1489" s="79"/>
      <c r="J1489" s="79"/>
      <c r="M1489" s="104"/>
      <c r="P1489" s="79"/>
      <c r="S1489" s="79"/>
      <c r="V1489" s="79"/>
    </row>
    <row r="1490" spans="7:22" x14ac:dyDescent="0.2">
      <c r="G1490" s="79"/>
      <c r="J1490" s="79"/>
      <c r="M1490" s="104"/>
      <c r="P1490" s="79"/>
      <c r="S1490" s="79"/>
      <c r="V1490" s="79"/>
    </row>
    <row r="1491" spans="7:22" x14ac:dyDescent="0.2">
      <c r="G1491" s="79"/>
      <c r="J1491" s="79"/>
      <c r="M1491" s="104"/>
      <c r="P1491" s="79"/>
      <c r="S1491" s="79"/>
      <c r="V1491" s="79"/>
    </row>
    <row r="1492" spans="7:22" x14ac:dyDescent="0.2">
      <c r="G1492" s="79"/>
      <c r="J1492" s="79"/>
      <c r="M1492" s="104"/>
      <c r="P1492" s="79"/>
      <c r="S1492" s="79"/>
      <c r="V1492" s="79"/>
    </row>
    <row r="1493" spans="7:22" x14ac:dyDescent="0.2">
      <c r="G1493" s="79"/>
      <c r="J1493" s="79"/>
      <c r="M1493" s="104"/>
      <c r="P1493" s="79"/>
      <c r="S1493" s="79"/>
      <c r="V1493" s="79"/>
    </row>
    <row r="1494" spans="7:22" x14ac:dyDescent="0.2">
      <c r="G1494" s="79"/>
      <c r="J1494" s="79"/>
      <c r="M1494" s="104"/>
      <c r="P1494" s="79"/>
      <c r="S1494" s="79"/>
      <c r="V1494" s="79"/>
    </row>
    <row r="1495" spans="7:22" x14ac:dyDescent="0.2">
      <c r="G1495" s="79"/>
      <c r="J1495" s="79"/>
      <c r="M1495" s="104"/>
      <c r="P1495" s="79"/>
      <c r="S1495" s="79"/>
      <c r="V1495" s="79"/>
    </row>
    <row r="1496" spans="7:22" x14ac:dyDescent="0.2">
      <c r="G1496" s="79"/>
      <c r="J1496" s="79"/>
      <c r="M1496" s="104"/>
      <c r="P1496" s="79"/>
      <c r="S1496" s="79"/>
      <c r="V1496" s="79"/>
    </row>
    <row r="1497" spans="7:22" x14ac:dyDescent="0.2">
      <c r="G1497" s="79"/>
      <c r="J1497" s="79"/>
      <c r="M1497" s="104"/>
      <c r="P1497" s="79"/>
      <c r="S1497" s="79"/>
      <c r="V1497" s="79"/>
    </row>
    <row r="1498" spans="7:22" x14ac:dyDescent="0.2">
      <c r="G1498" s="79"/>
      <c r="J1498" s="79"/>
      <c r="M1498" s="104"/>
      <c r="P1498" s="79"/>
      <c r="S1498" s="79"/>
      <c r="V1498" s="79"/>
    </row>
    <row r="1499" spans="7:22" x14ac:dyDescent="0.2">
      <c r="G1499" s="79"/>
      <c r="J1499" s="79"/>
      <c r="M1499" s="104"/>
      <c r="P1499" s="79"/>
      <c r="S1499" s="79"/>
      <c r="V1499" s="79"/>
    </row>
    <row r="1500" spans="7:22" x14ac:dyDescent="0.2">
      <c r="G1500" s="79"/>
      <c r="J1500" s="79"/>
      <c r="M1500" s="104"/>
      <c r="P1500" s="79"/>
      <c r="S1500" s="79"/>
      <c r="V1500" s="79"/>
    </row>
    <row r="1501" spans="7:22" x14ac:dyDescent="0.2">
      <c r="G1501" s="79"/>
      <c r="J1501" s="79"/>
      <c r="M1501" s="104"/>
      <c r="P1501" s="79"/>
      <c r="S1501" s="79"/>
      <c r="V1501" s="79"/>
    </row>
    <row r="1502" spans="7:22" x14ac:dyDescent="0.2">
      <c r="G1502" s="79"/>
      <c r="J1502" s="79"/>
      <c r="M1502" s="104"/>
      <c r="P1502" s="79"/>
      <c r="S1502" s="79"/>
      <c r="V1502" s="79"/>
    </row>
    <row r="1503" spans="7:22" x14ac:dyDescent="0.2">
      <c r="G1503" s="79"/>
      <c r="J1503" s="79"/>
      <c r="M1503" s="104"/>
      <c r="P1503" s="79"/>
      <c r="S1503" s="79"/>
      <c r="V1503" s="79"/>
    </row>
    <row r="1504" spans="7:22" x14ac:dyDescent="0.2">
      <c r="G1504" s="79"/>
      <c r="J1504" s="79"/>
      <c r="M1504" s="104"/>
      <c r="P1504" s="79"/>
      <c r="S1504" s="79"/>
      <c r="V1504" s="79"/>
    </row>
    <row r="1505" spans="7:22" x14ac:dyDescent="0.2">
      <c r="G1505" s="79"/>
      <c r="J1505" s="79"/>
      <c r="M1505" s="104"/>
      <c r="P1505" s="79"/>
      <c r="S1505" s="79"/>
      <c r="V1505" s="79"/>
    </row>
    <row r="1506" spans="7:22" x14ac:dyDescent="0.2">
      <c r="G1506" s="79"/>
      <c r="J1506" s="79"/>
      <c r="M1506" s="104"/>
      <c r="P1506" s="79"/>
      <c r="S1506" s="79"/>
      <c r="V1506" s="79"/>
    </row>
    <row r="1507" spans="7:22" x14ac:dyDescent="0.2">
      <c r="G1507" s="79"/>
      <c r="J1507" s="79"/>
      <c r="M1507" s="104"/>
      <c r="P1507" s="79"/>
      <c r="S1507" s="79"/>
      <c r="V1507" s="79"/>
    </row>
    <row r="1508" spans="7:22" x14ac:dyDescent="0.2">
      <c r="G1508" s="79"/>
      <c r="J1508" s="79"/>
      <c r="M1508" s="104"/>
      <c r="P1508" s="79"/>
      <c r="S1508" s="79"/>
      <c r="V1508" s="79"/>
    </row>
    <row r="1509" spans="7:22" x14ac:dyDescent="0.2">
      <c r="G1509" s="79"/>
      <c r="J1509" s="79"/>
      <c r="M1509" s="104"/>
      <c r="P1509" s="79"/>
      <c r="S1509" s="79"/>
      <c r="V1509" s="79"/>
    </row>
    <row r="1510" spans="7:22" x14ac:dyDescent="0.2">
      <c r="G1510" s="79"/>
      <c r="J1510" s="79"/>
      <c r="M1510" s="104"/>
      <c r="P1510" s="79"/>
      <c r="S1510" s="79"/>
      <c r="V1510" s="79"/>
    </row>
    <row r="1511" spans="7:22" x14ac:dyDescent="0.2">
      <c r="G1511" s="79"/>
      <c r="J1511" s="79"/>
      <c r="M1511" s="104"/>
      <c r="P1511" s="79"/>
      <c r="S1511" s="79"/>
      <c r="V1511" s="79"/>
    </row>
    <row r="1512" spans="7:22" x14ac:dyDescent="0.2">
      <c r="G1512" s="79"/>
      <c r="J1512" s="79"/>
      <c r="M1512" s="104"/>
      <c r="P1512" s="79"/>
      <c r="S1512" s="79"/>
      <c r="V1512" s="79"/>
    </row>
    <row r="1513" spans="7:22" x14ac:dyDescent="0.2">
      <c r="G1513" s="79"/>
      <c r="J1513" s="79"/>
      <c r="M1513" s="104"/>
      <c r="P1513" s="79"/>
      <c r="S1513" s="79"/>
      <c r="V1513" s="79"/>
    </row>
    <row r="1514" spans="7:22" x14ac:dyDescent="0.2">
      <c r="G1514" s="79"/>
      <c r="J1514" s="79"/>
      <c r="M1514" s="104"/>
      <c r="P1514" s="79"/>
      <c r="S1514" s="79"/>
      <c r="V1514" s="79"/>
    </row>
    <row r="1515" spans="7:22" x14ac:dyDescent="0.2">
      <c r="G1515" s="79"/>
      <c r="J1515" s="79"/>
      <c r="M1515" s="104"/>
      <c r="P1515" s="79"/>
      <c r="S1515" s="79"/>
      <c r="V1515" s="79"/>
    </row>
    <row r="1516" spans="7:22" x14ac:dyDescent="0.2">
      <c r="G1516" s="79"/>
      <c r="J1516" s="79"/>
      <c r="M1516" s="104"/>
      <c r="P1516" s="79"/>
      <c r="S1516" s="79"/>
      <c r="V1516" s="79"/>
    </row>
    <row r="1517" spans="7:22" x14ac:dyDescent="0.2">
      <c r="G1517" s="79"/>
      <c r="J1517" s="79"/>
      <c r="M1517" s="104"/>
      <c r="P1517" s="79"/>
      <c r="S1517" s="79"/>
      <c r="V1517" s="79"/>
    </row>
    <row r="1518" spans="7:22" x14ac:dyDescent="0.2">
      <c r="G1518" s="79"/>
      <c r="J1518" s="79"/>
      <c r="M1518" s="104"/>
      <c r="P1518" s="79"/>
      <c r="S1518" s="79"/>
      <c r="V1518" s="79"/>
    </row>
    <row r="1519" spans="7:22" x14ac:dyDescent="0.2">
      <c r="G1519" s="79"/>
      <c r="J1519" s="79"/>
      <c r="M1519" s="104"/>
      <c r="P1519" s="79"/>
      <c r="S1519" s="79"/>
      <c r="V1519" s="79"/>
    </row>
    <row r="1520" spans="7:22" x14ac:dyDescent="0.2">
      <c r="G1520" s="79"/>
      <c r="J1520" s="79"/>
      <c r="M1520" s="104"/>
      <c r="P1520" s="79"/>
      <c r="S1520" s="79"/>
      <c r="V1520" s="79"/>
    </row>
    <row r="1521" spans="7:22" x14ac:dyDescent="0.2">
      <c r="G1521" s="79"/>
      <c r="J1521" s="79"/>
      <c r="M1521" s="104"/>
      <c r="P1521" s="79"/>
      <c r="S1521" s="79"/>
      <c r="V1521" s="79"/>
    </row>
    <row r="1522" spans="7:22" x14ac:dyDescent="0.2">
      <c r="G1522" s="79"/>
      <c r="J1522" s="79"/>
      <c r="M1522" s="104"/>
      <c r="P1522" s="79"/>
      <c r="S1522" s="79"/>
      <c r="V1522" s="79"/>
    </row>
    <row r="1523" spans="7:22" x14ac:dyDescent="0.2">
      <c r="G1523" s="79"/>
      <c r="J1523" s="79"/>
      <c r="M1523" s="104"/>
      <c r="P1523" s="79"/>
      <c r="S1523" s="79"/>
      <c r="V1523" s="79"/>
    </row>
    <row r="1524" spans="7:22" x14ac:dyDescent="0.2">
      <c r="G1524" s="79"/>
      <c r="J1524" s="79"/>
      <c r="M1524" s="104"/>
      <c r="P1524" s="79"/>
      <c r="S1524" s="79"/>
      <c r="V1524" s="79"/>
    </row>
    <row r="1525" spans="7:22" x14ac:dyDescent="0.2">
      <c r="G1525" s="79"/>
      <c r="J1525" s="79"/>
      <c r="M1525" s="104"/>
      <c r="P1525" s="79"/>
      <c r="S1525" s="79"/>
      <c r="V1525" s="79"/>
    </row>
    <row r="1526" spans="7:22" x14ac:dyDescent="0.2">
      <c r="G1526" s="79"/>
      <c r="J1526" s="79"/>
      <c r="M1526" s="104"/>
      <c r="P1526" s="79"/>
      <c r="S1526" s="79"/>
      <c r="V1526" s="79"/>
    </row>
    <row r="1527" spans="7:22" x14ac:dyDescent="0.2">
      <c r="G1527" s="79"/>
      <c r="J1527" s="79"/>
      <c r="M1527" s="104"/>
      <c r="P1527" s="79"/>
      <c r="S1527" s="79"/>
      <c r="V1527" s="79"/>
    </row>
    <row r="1528" spans="7:22" x14ac:dyDescent="0.2">
      <c r="G1528" s="79"/>
      <c r="J1528" s="79"/>
      <c r="M1528" s="104"/>
      <c r="P1528" s="79"/>
      <c r="S1528" s="79"/>
      <c r="V1528" s="79"/>
    </row>
    <row r="1529" spans="7:22" x14ac:dyDescent="0.2">
      <c r="G1529" s="79"/>
      <c r="J1529" s="79"/>
      <c r="M1529" s="104"/>
      <c r="P1529" s="79"/>
      <c r="S1529" s="79"/>
      <c r="V1529" s="79"/>
    </row>
    <row r="1530" spans="7:22" x14ac:dyDescent="0.2">
      <c r="G1530" s="79"/>
      <c r="J1530" s="79"/>
      <c r="M1530" s="104"/>
      <c r="P1530" s="79"/>
      <c r="S1530" s="79"/>
      <c r="V1530" s="79"/>
    </row>
    <row r="1531" spans="7:22" x14ac:dyDescent="0.2">
      <c r="G1531" s="79"/>
      <c r="J1531" s="79"/>
      <c r="M1531" s="104"/>
      <c r="P1531" s="79"/>
      <c r="S1531" s="79"/>
      <c r="V1531" s="79"/>
    </row>
    <row r="1532" spans="7:22" x14ac:dyDescent="0.2">
      <c r="G1532" s="79"/>
      <c r="J1532" s="79"/>
      <c r="M1532" s="104"/>
      <c r="P1532" s="79"/>
      <c r="S1532" s="79"/>
      <c r="V1532" s="79"/>
    </row>
    <row r="1533" spans="7:22" x14ac:dyDescent="0.2">
      <c r="G1533" s="79"/>
      <c r="J1533" s="79"/>
      <c r="M1533" s="104"/>
      <c r="P1533" s="79"/>
      <c r="S1533" s="79"/>
      <c r="V1533" s="79"/>
    </row>
    <row r="1534" spans="7:22" x14ac:dyDescent="0.2">
      <c r="G1534" s="79"/>
      <c r="J1534" s="79"/>
      <c r="M1534" s="104"/>
      <c r="P1534" s="79"/>
      <c r="S1534" s="79"/>
      <c r="V1534" s="79"/>
    </row>
    <row r="1535" spans="7:22" x14ac:dyDescent="0.2">
      <c r="G1535" s="79"/>
      <c r="J1535" s="79"/>
      <c r="M1535" s="104"/>
      <c r="P1535" s="79"/>
      <c r="S1535" s="79"/>
      <c r="V1535" s="79"/>
    </row>
    <row r="1536" spans="7:22" x14ac:dyDescent="0.2">
      <c r="G1536" s="79"/>
      <c r="J1536" s="79"/>
      <c r="M1536" s="104"/>
      <c r="P1536" s="79"/>
      <c r="S1536" s="79"/>
      <c r="V1536" s="79"/>
    </row>
    <row r="1537" spans="7:22" x14ac:dyDescent="0.2">
      <c r="G1537" s="79"/>
      <c r="J1537" s="79"/>
      <c r="M1537" s="104"/>
      <c r="P1537" s="79"/>
      <c r="S1537" s="79"/>
      <c r="V1537" s="79"/>
    </row>
    <row r="1538" spans="7:22" x14ac:dyDescent="0.2">
      <c r="G1538" s="79"/>
      <c r="J1538" s="79"/>
      <c r="M1538" s="104"/>
      <c r="P1538" s="79"/>
      <c r="S1538" s="79"/>
      <c r="V1538" s="79"/>
    </row>
    <row r="1539" spans="7:22" x14ac:dyDescent="0.2">
      <c r="G1539" s="79"/>
      <c r="J1539" s="79"/>
      <c r="M1539" s="104"/>
      <c r="P1539" s="79"/>
      <c r="S1539" s="79"/>
      <c r="V1539" s="79"/>
    </row>
    <row r="1540" spans="7:22" x14ac:dyDescent="0.2">
      <c r="G1540" s="79"/>
      <c r="J1540" s="79"/>
      <c r="M1540" s="104"/>
      <c r="P1540" s="79"/>
      <c r="S1540" s="79"/>
      <c r="V1540" s="79"/>
    </row>
    <row r="1541" spans="7:22" x14ac:dyDescent="0.2">
      <c r="G1541" s="79"/>
      <c r="J1541" s="79"/>
      <c r="M1541" s="104"/>
      <c r="P1541" s="79"/>
      <c r="S1541" s="79"/>
      <c r="V1541" s="79"/>
    </row>
    <row r="1542" spans="7:22" x14ac:dyDescent="0.2">
      <c r="G1542" s="79"/>
      <c r="J1542" s="79"/>
      <c r="M1542" s="104"/>
      <c r="P1542" s="79"/>
      <c r="S1542" s="79"/>
      <c r="V1542" s="79"/>
    </row>
    <row r="1543" spans="7:22" x14ac:dyDescent="0.2">
      <c r="G1543" s="79"/>
      <c r="J1543" s="79"/>
      <c r="M1543" s="104"/>
      <c r="P1543" s="79"/>
      <c r="S1543" s="79"/>
      <c r="V1543" s="79"/>
    </row>
    <row r="1544" spans="7:22" x14ac:dyDescent="0.2">
      <c r="G1544" s="79"/>
      <c r="J1544" s="79"/>
      <c r="M1544" s="104"/>
      <c r="P1544" s="79"/>
      <c r="S1544" s="79"/>
      <c r="V1544" s="79"/>
    </row>
    <row r="1545" spans="7:22" x14ac:dyDescent="0.2">
      <c r="G1545" s="79"/>
      <c r="J1545" s="79"/>
      <c r="M1545" s="104"/>
      <c r="P1545" s="79"/>
      <c r="S1545" s="79"/>
      <c r="V1545" s="79"/>
    </row>
    <row r="1546" spans="7:22" x14ac:dyDescent="0.2">
      <c r="G1546" s="79"/>
      <c r="J1546" s="79"/>
      <c r="M1546" s="104"/>
      <c r="P1546" s="79"/>
      <c r="S1546" s="79"/>
      <c r="V1546" s="79"/>
    </row>
    <row r="1547" spans="7:22" x14ac:dyDescent="0.2">
      <c r="G1547" s="79"/>
      <c r="J1547" s="79"/>
      <c r="M1547" s="104"/>
      <c r="P1547" s="79"/>
      <c r="S1547" s="79"/>
      <c r="V1547" s="79"/>
    </row>
    <row r="1548" spans="7:22" x14ac:dyDescent="0.2">
      <c r="G1548" s="79"/>
      <c r="J1548" s="79"/>
      <c r="M1548" s="104"/>
      <c r="P1548" s="79"/>
      <c r="S1548" s="79"/>
      <c r="V1548" s="79"/>
    </row>
    <row r="1549" spans="7:22" x14ac:dyDescent="0.2">
      <c r="G1549" s="79"/>
      <c r="J1549" s="79"/>
      <c r="M1549" s="104"/>
      <c r="P1549" s="79"/>
      <c r="S1549" s="79"/>
      <c r="V1549" s="79"/>
    </row>
    <row r="1550" spans="7:22" x14ac:dyDescent="0.2">
      <c r="G1550" s="79"/>
      <c r="J1550" s="79"/>
      <c r="M1550" s="104"/>
      <c r="P1550" s="79"/>
      <c r="S1550" s="79"/>
      <c r="V1550" s="79"/>
    </row>
    <row r="1551" spans="7:22" x14ac:dyDescent="0.2">
      <c r="G1551" s="79"/>
      <c r="J1551" s="79"/>
      <c r="M1551" s="104"/>
      <c r="P1551" s="79"/>
      <c r="S1551" s="79"/>
      <c r="V1551" s="79"/>
    </row>
    <row r="1552" spans="7:22" x14ac:dyDescent="0.2">
      <c r="G1552" s="79"/>
      <c r="J1552" s="79"/>
      <c r="M1552" s="104"/>
      <c r="P1552" s="79"/>
      <c r="S1552" s="79"/>
      <c r="V1552" s="79"/>
    </row>
    <row r="1553" spans="7:22" x14ac:dyDescent="0.2">
      <c r="G1553" s="79"/>
      <c r="J1553" s="79"/>
      <c r="M1553" s="104"/>
      <c r="P1553" s="79"/>
      <c r="S1553" s="79"/>
      <c r="V1553" s="79"/>
    </row>
    <row r="1554" spans="7:22" x14ac:dyDescent="0.2">
      <c r="G1554" s="79"/>
      <c r="J1554" s="79"/>
      <c r="M1554" s="104"/>
      <c r="P1554" s="79"/>
      <c r="S1554" s="79"/>
      <c r="V1554" s="79"/>
    </row>
    <row r="1555" spans="7:22" x14ac:dyDescent="0.2">
      <c r="G1555" s="79"/>
      <c r="J1555" s="79"/>
      <c r="M1555" s="104"/>
      <c r="P1555" s="79"/>
      <c r="S1555" s="79"/>
      <c r="V1555" s="79"/>
    </row>
    <row r="1556" spans="7:22" x14ac:dyDescent="0.2">
      <c r="G1556" s="79"/>
      <c r="J1556" s="79"/>
      <c r="M1556" s="104"/>
      <c r="P1556" s="79"/>
      <c r="S1556" s="79"/>
      <c r="V1556" s="79"/>
    </row>
    <row r="1557" spans="7:22" x14ac:dyDescent="0.2">
      <c r="G1557" s="79"/>
      <c r="J1557" s="79"/>
      <c r="M1557" s="104"/>
      <c r="P1557" s="79"/>
      <c r="S1557" s="79"/>
      <c r="V1557" s="79"/>
    </row>
    <row r="1558" spans="7:22" x14ac:dyDescent="0.2">
      <c r="G1558" s="79"/>
      <c r="J1558" s="79"/>
      <c r="M1558" s="104"/>
      <c r="P1558" s="79"/>
      <c r="S1558" s="79"/>
      <c r="V1558" s="79"/>
    </row>
    <row r="1559" spans="7:22" x14ac:dyDescent="0.2">
      <c r="G1559" s="79"/>
      <c r="J1559" s="79"/>
      <c r="M1559" s="104"/>
      <c r="P1559" s="79"/>
      <c r="S1559" s="79"/>
      <c r="V1559" s="79"/>
    </row>
    <row r="1560" spans="7:22" x14ac:dyDescent="0.2">
      <c r="G1560" s="79"/>
      <c r="J1560" s="79"/>
      <c r="M1560" s="104"/>
      <c r="P1560" s="79"/>
      <c r="S1560" s="79"/>
      <c r="V1560" s="79"/>
    </row>
    <row r="1561" spans="7:22" x14ac:dyDescent="0.2">
      <c r="G1561" s="79"/>
      <c r="J1561" s="79"/>
      <c r="M1561" s="104"/>
      <c r="P1561" s="79"/>
      <c r="S1561" s="79"/>
      <c r="V1561" s="79"/>
    </row>
    <row r="1562" spans="7:22" x14ac:dyDescent="0.2">
      <c r="G1562" s="79"/>
      <c r="J1562" s="79"/>
      <c r="M1562" s="104"/>
      <c r="P1562" s="79"/>
      <c r="S1562" s="79"/>
      <c r="V1562" s="79"/>
    </row>
    <row r="1563" spans="7:22" x14ac:dyDescent="0.2">
      <c r="G1563" s="79"/>
      <c r="J1563" s="79"/>
      <c r="M1563" s="104"/>
      <c r="P1563" s="79"/>
      <c r="S1563" s="79"/>
      <c r="V1563" s="79"/>
    </row>
    <row r="1564" spans="7:22" x14ac:dyDescent="0.2">
      <c r="G1564" s="79"/>
      <c r="J1564" s="79"/>
      <c r="M1564" s="104"/>
      <c r="P1564" s="79"/>
      <c r="S1564" s="79"/>
      <c r="V1564" s="79"/>
    </row>
    <row r="1565" spans="7:22" x14ac:dyDescent="0.2">
      <c r="G1565" s="79"/>
      <c r="J1565" s="79"/>
      <c r="M1565" s="104"/>
      <c r="P1565" s="79"/>
      <c r="S1565" s="79"/>
      <c r="V1565" s="79"/>
    </row>
    <row r="1566" spans="7:22" x14ac:dyDescent="0.2">
      <c r="G1566" s="79"/>
      <c r="J1566" s="79"/>
      <c r="M1566" s="104"/>
      <c r="P1566" s="79"/>
      <c r="S1566" s="79"/>
      <c r="V1566" s="79"/>
    </row>
    <row r="1567" spans="7:22" x14ac:dyDescent="0.2">
      <c r="G1567" s="79"/>
      <c r="J1567" s="79"/>
      <c r="M1567" s="104"/>
      <c r="P1567" s="79"/>
      <c r="S1567" s="79"/>
      <c r="V1567" s="79"/>
    </row>
    <row r="1568" spans="7:22" x14ac:dyDescent="0.2">
      <c r="G1568" s="79"/>
      <c r="J1568" s="79"/>
      <c r="M1568" s="104"/>
      <c r="P1568" s="79"/>
      <c r="S1568" s="79"/>
      <c r="V1568" s="79"/>
    </row>
    <row r="1569" spans="7:22" x14ac:dyDescent="0.2">
      <c r="G1569" s="79"/>
      <c r="J1569" s="79"/>
      <c r="M1569" s="104"/>
      <c r="P1569" s="79"/>
      <c r="S1569" s="79"/>
      <c r="V1569" s="79"/>
    </row>
    <row r="1570" spans="7:22" x14ac:dyDescent="0.2">
      <c r="G1570" s="79"/>
      <c r="J1570" s="79"/>
      <c r="M1570" s="104"/>
      <c r="P1570" s="79"/>
      <c r="S1570" s="79"/>
      <c r="V1570" s="79"/>
    </row>
    <row r="1571" spans="7:22" x14ac:dyDescent="0.2">
      <c r="G1571" s="79"/>
      <c r="J1571" s="79"/>
      <c r="M1571" s="104"/>
      <c r="P1571" s="79"/>
      <c r="S1571" s="79"/>
      <c r="V1571" s="79"/>
    </row>
    <row r="1572" spans="7:22" x14ac:dyDescent="0.2">
      <c r="G1572" s="79"/>
      <c r="J1572" s="79"/>
      <c r="M1572" s="104"/>
      <c r="P1572" s="79"/>
      <c r="S1572" s="79"/>
      <c r="V1572" s="79"/>
    </row>
    <row r="1573" spans="7:22" x14ac:dyDescent="0.2">
      <c r="G1573" s="79"/>
      <c r="J1573" s="79"/>
      <c r="M1573" s="104"/>
      <c r="P1573" s="79"/>
      <c r="S1573" s="79"/>
      <c r="V1573" s="79"/>
    </row>
    <row r="1574" spans="7:22" x14ac:dyDescent="0.2">
      <c r="G1574" s="79"/>
      <c r="J1574" s="79"/>
      <c r="M1574" s="104"/>
      <c r="P1574" s="79"/>
      <c r="S1574" s="79"/>
      <c r="V1574" s="79"/>
    </row>
    <row r="1575" spans="7:22" x14ac:dyDescent="0.2">
      <c r="G1575" s="79"/>
      <c r="J1575" s="79"/>
      <c r="M1575" s="104"/>
      <c r="P1575" s="79"/>
      <c r="S1575" s="79"/>
      <c r="V1575" s="79"/>
    </row>
    <row r="1576" spans="7:22" x14ac:dyDescent="0.2">
      <c r="G1576" s="79"/>
      <c r="J1576" s="79"/>
      <c r="M1576" s="104"/>
      <c r="P1576" s="79"/>
      <c r="S1576" s="79"/>
      <c r="V1576" s="79"/>
    </row>
    <row r="1577" spans="7:22" x14ac:dyDescent="0.2">
      <c r="G1577" s="79"/>
      <c r="J1577" s="79"/>
      <c r="M1577" s="104"/>
      <c r="P1577" s="79"/>
      <c r="S1577" s="79"/>
      <c r="V1577" s="79"/>
    </row>
    <row r="1578" spans="7:22" x14ac:dyDescent="0.2">
      <c r="G1578" s="79"/>
      <c r="J1578" s="79"/>
      <c r="M1578" s="104"/>
      <c r="P1578" s="79"/>
      <c r="S1578" s="79"/>
      <c r="V1578" s="79"/>
    </row>
    <row r="1579" spans="7:22" x14ac:dyDescent="0.2">
      <c r="G1579" s="79"/>
      <c r="J1579" s="79"/>
      <c r="M1579" s="104"/>
      <c r="P1579" s="79"/>
      <c r="S1579" s="79"/>
      <c r="V1579" s="79"/>
    </row>
    <row r="1580" spans="7:22" x14ac:dyDescent="0.2">
      <c r="G1580" s="79"/>
      <c r="J1580" s="79"/>
      <c r="M1580" s="104"/>
      <c r="P1580" s="79"/>
      <c r="S1580" s="79"/>
      <c r="V1580" s="79"/>
    </row>
    <row r="1581" spans="7:22" x14ac:dyDescent="0.2">
      <c r="G1581" s="79"/>
      <c r="J1581" s="79"/>
      <c r="M1581" s="104"/>
      <c r="P1581" s="79"/>
      <c r="S1581" s="79"/>
      <c r="V1581" s="79"/>
    </row>
    <row r="1582" spans="7:22" x14ac:dyDescent="0.2">
      <c r="G1582" s="79"/>
      <c r="J1582" s="79"/>
      <c r="M1582" s="104"/>
      <c r="P1582" s="79"/>
      <c r="S1582" s="79"/>
      <c r="V1582" s="79"/>
    </row>
    <row r="1583" spans="7:22" x14ac:dyDescent="0.2">
      <c r="G1583" s="79"/>
      <c r="J1583" s="79"/>
      <c r="M1583" s="104"/>
      <c r="P1583" s="79"/>
      <c r="S1583" s="79"/>
      <c r="V1583" s="79"/>
    </row>
    <row r="1584" spans="7:22" x14ac:dyDescent="0.2">
      <c r="G1584" s="79"/>
      <c r="J1584" s="79"/>
      <c r="M1584" s="104"/>
      <c r="P1584" s="79"/>
      <c r="S1584" s="79"/>
      <c r="V1584" s="79"/>
    </row>
    <row r="1585" spans="7:22" x14ac:dyDescent="0.2">
      <c r="G1585" s="79"/>
      <c r="J1585" s="79"/>
      <c r="M1585" s="104"/>
      <c r="P1585" s="79"/>
      <c r="S1585" s="79"/>
      <c r="V1585" s="79"/>
    </row>
    <row r="1586" spans="7:22" x14ac:dyDescent="0.2">
      <c r="G1586" s="79"/>
      <c r="J1586" s="79"/>
      <c r="M1586" s="104"/>
      <c r="P1586" s="79"/>
      <c r="S1586" s="79"/>
      <c r="V1586" s="79"/>
    </row>
    <row r="1587" spans="7:22" x14ac:dyDescent="0.2">
      <c r="G1587" s="79"/>
      <c r="J1587" s="79"/>
      <c r="M1587" s="104"/>
      <c r="P1587" s="79"/>
      <c r="S1587" s="79"/>
      <c r="V1587" s="79"/>
    </row>
    <row r="1588" spans="7:22" x14ac:dyDescent="0.2">
      <c r="G1588" s="79"/>
      <c r="J1588" s="79"/>
      <c r="M1588" s="104"/>
      <c r="P1588" s="79"/>
      <c r="S1588" s="79"/>
      <c r="V1588" s="79"/>
    </row>
    <row r="1589" spans="7:22" x14ac:dyDescent="0.2">
      <c r="G1589" s="79"/>
      <c r="J1589" s="79"/>
      <c r="M1589" s="104"/>
      <c r="P1589" s="79"/>
      <c r="S1589" s="79"/>
      <c r="V1589" s="79"/>
    </row>
    <row r="1590" spans="7:22" x14ac:dyDescent="0.2">
      <c r="G1590" s="79"/>
      <c r="J1590" s="79"/>
      <c r="M1590" s="104"/>
      <c r="P1590" s="79"/>
      <c r="S1590" s="79"/>
      <c r="V1590" s="79"/>
    </row>
    <row r="1591" spans="7:22" x14ac:dyDescent="0.2">
      <c r="G1591" s="79"/>
      <c r="J1591" s="79"/>
      <c r="M1591" s="104"/>
      <c r="P1591" s="79"/>
      <c r="S1591" s="79"/>
      <c r="V1591" s="79"/>
    </row>
    <row r="1592" spans="7:22" x14ac:dyDescent="0.2">
      <c r="G1592" s="79"/>
      <c r="J1592" s="79"/>
      <c r="M1592" s="104"/>
      <c r="P1592" s="79"/>
      <c r="S1592" s="79"/>
      <c r="V1592" s="79"/>
    </row>
    <row r="1593" spans="7:22" x14ac:dyDescent="0.2">
      <c r="G1593" s="79"/>
      <c r="J1593" s="79"/>
      <c r="M1593" s="104"/>
      <c r="P1593" s="79"/>
      <c r="S1593" s="79"/>
      <c r="V1593" s="79"/>
    </row>
    <row r="1594" spans="7:22" x14ac:dyDescent="0.2">
      <c r="G1594" s="79"/>
      <c r="J1594" s="79"/>
      <c r="M1594" s="104"/>
      <c r="P1594" s="79"/>
      <c r="S1594" s="79"/>
      <c r="V1594" s="79"/>
    </row>
    <row r="1595" spans="7:22" x14ac:dyDescent="0.2">
      <c r="G1595" s="79"/>
      <c r="J1595" s="79"/>
      <c r="M1595" s="104"/>
      <c r="P1595" s="79"/>
      <c r="S1595" s="79"/>
      <c r="V1595" s="79"/>
    </row>
    <row r="1596" spans="7:22" x14ac:dyDescent="0.2">
      <c r="G1596" s="79"/>
      <c r="J1596" s="79"/>
      <c r="M1596" s="104"/>
      <c r="P1596" s="79"/>
      <c r="S1596" s="79"/>
      <c r="V1596" s="79"/>
    </row>
    <row r="1597" spans="7:22" x14ac:dyDescent="0.2">
      <c r="G1597" s="79"/>
      <c r="J1597" s="79"/>
      <c r="M1597" s="104"/>
      <c r="P1597" s="79"/>
      <c r="S1597" s="79"/>
      <c r="V1597" s="79"/>
    </row>
    <row r="1598" spans="7:22" x14ac:dyDescent="0.2">
      <c r="G1598" s="79"/>
      <c r="J1598" s="79"/>
      <c r="M1598" s="104"/>
      <c r="P1598" s="79"/>
      <c r="S1598" s="79"/>
      <c r="V1598" s="79"/>
    </row>
    <row r="1599" spans="7:22" x14ac:dyDescent="0.2">
      <c r="G1599" s="79"/>
      <c r="J1599" s="79"/>
      <c r="M1599" s="104"/>
      <c r="P1599" s="79"/>
      <c r="S1599" s="79"/>
      <c r="V1599" s="79"/>
    </row>
    <row r="1600" spans="7:22" x14ac:dyDescent="0.2">
      <c r="G1600" s="79"/>
      <c r="J1600" s="79"/>
      <c r="M1600" s="104"/>
      <c r="P1600" s="79"/>
      <c r="S1600" s="79"/>
      <c r="V1600" s="79"/>
    </row>
    <row r="1601" spans="7:22" x14ac:dyDescent="0.2">
      <c r="G1601" s="79"/>
      <c r="J1601" s="79"/>
      <c r="M1601" s="104"/>
      <c r="P1601" s="79"/>
      <c r="S1601" s="79"/>
      <c r="V1601" s="79"/>
    </row>
    <row r="1602" spans="7:22" x14ac:dyDescent="0.2">
      <c r="G1602" s="79"/>
      <c r="J1602" s="79"/>
      <c r="M1602" s="104"/>
      <c r="P1602" s="79"/>
      <c r="S1602" s="79"/>
      <c r="V1602" s="79"/>
    </row>
    <row r="1603" spans="7:22" x14ac:dyDescent="0.2">
      <c r="G1603" s="79"/>
      <c r="J1603" s="79"/>
      <c r="M1603" s="104"/>
      <c r="P1603" s="79"/>
      <c r="S1603" s="79"/>
      <c r="V1603" s="79"/>
    </row>
    <row r="1604" spans="7:22" x14ac:dyDescent="0.2">
      <c r="G1604" s="79"/>
      <c r="J1604" s="79"/>
      <c r="M1604" s="104"/>
      <c r="P1604" s="79"/>
      <c r="S1604" s="79"/>
      <c r="V1604" s="79"/>
    </row>
    <row r="1605" spans="7:22" x14ac:dyDescent="0.2">
      <c r="G1605" s="79"/>
      <c r="J1605" s="79"/>
      <c r="M1605" s="104"/>
      <c r="P1605" s="79"/>
      <c r="S1605" s="79"/>
      <c r="V1605" s="79"/>
    </row>
    <row r="1606" spans="7:22" x14ac:dyDescent="0.2">
      <c r="G1606" s="79"/>
      <c r="J1606" s="79"/>
      <c r="M1606" s="104"/>
      <c r="P1606" s="79"/>
      <c r="S1606" s="79"/>
      <c r="V1606" s="79"/>
    </row>
    <row r="1607" spans="7:22" x14ac:dyDescent="0.2">
      <c r="G1607" s="79"/>
      <c r="J1607" s="79"/>
      <c r="M1607" s="104"/>
      <c r="P1607" s="79"/>
      <c r="S1607" s="79"/>
      <c r="V1607" s="79"/>
    </row>
    <row r="1608" spans="7:22" x14ac:dyDescent="0.2">
      <c r="G1608" s="79"/>
      <c r="J1608" s="79"/>
      <c r="M1608" s="104"/>
      <c r="P1608" s="79"/>
      <c r="S1608" s="79"/>
      <c r="V1608" s="79"/>
    </row>
    <row r="1609" spans="7:22" x14ac:dyDescent="0.2">
      <c r="G1609" s="79"/>
      <c r="J1609" s="79"/>
      <c r="M1609" s="104"/>
      <c r="P1609" s="79"/>
      <c r="S1609" s="79"/>
      <c r="V1609" s="79"/>
    </row>
    <row r="1610" spans="7:22" x14ac:dyDescent="0.2">
      <c r="G1610" s="79"/>
      <c r="J1610" s="79"/>
      <c r="M1610" s="104"/>
      <c r="P1610" s="79"/>
      <c r="S1610" s="79"/>
      <c r="V1610" s="79"/>
    </row>
    <row r="1611" spans="7:22" x14ac:dyDescent="0.2">
      <c r="G1611" s="79"/>
      <c r="J1611" s="79"/>
      <c r="M1611" s="104"/>
      <c r="P1611" s="79"/>
      <c r="S1611" s="79"/>
      <c r="V1611" s="79"/>
    </row>
    <row r="1612" spans="7:22" x14ac:dyDescent="0.2">
      <c r="G1612" s="79"/>
      <c r="J1612" s="79"/>
      <c r="M1612" s="104"/>
      <c r="P1612" s="79"/>
      <c r="S1612" s="79"/>
      <c r="V1612" s="79"/>
    </row>
    <row r="1613" spans="7:22" x14ac:dyDescent="0.2">
      <c r="G1613" s="79"/>
      <c r="J1613" s="79"/>
      <c r="M1613" s="104"/>
      <c r="P1613" s="79"/>
      <c r="S1613" s="79"/>
      <c r="V1613" s="79"/>
    </row>
    <row r="1614" spans="7:22" x14ac:dyDescent="0.2">
      <c r="G1614" s="79"/>
      <c r="J1614" s="79"/>
      <c r="M1614" s="104"/>
      <c r="P1614" s="79"/>
      <c r="S1614" s="79"/>
      <c r="V1614" s="79"/>
    </row>
    <row r="1615" spans="7:22" x14ac:dyDescent="0.2">
      <c r="G1615" s="79"/>
      <c r="J1615" s="79"/>
      <c r="M1615" s="104"/>
      <c r="P1615" s="79"/>
      <c r="S1615" s="79"/>
      <c r="V1615" s="79"/>
    </row>
    <row r="1616" spans="7:22" x14ac:dyDescent="0.2">
      <c r="G1616" s="79"/>
      <c r="J1616" s="79"/>
      <c r="M1616" s="104"/>
      <c r="P1616" s="79"/>
      <c r="S1616" s="79"/>
      <c r="V1616" s="79"/>
    </row>
    <row r="1617" spans="7:22" x14ac:dyDescent="0.2">
      <c r="G1617" s="79"/>
      <c r="J1617" s="79"/>
      <c r="M1617" s="104"/>
      <c r="P1617" s="79"/>
      <c r="S1617" s="79"/>
      <c r="V1617" s="79"/>
    </row>
    <row r="1618" spans="7:22" x14ac:dyDescent="0.2">
      <c r="G1618" s="79"/>
      <c r="J1618" s="79"/>
      <c r="M1618" s="104"/>
      <c r="P1618" s="79"/>
      <c r="S1618" s="79"/>
      <c r="V1618" s="79"/>
    </row>
    <row r="1619" spans="7:22" x14ac:dyDescent="0.2">
      <c r="G1619" s="79"/>
      <c r="J1619" s="79"/>
      <c r="M1619" s="104"/>
      <c r="P1619" s="79"/>
      <c r="S1619" s="79"/>
      <c r="V1619" s="79"/>
    </row>
    <row r="1620" spans="7:22" x14ac:dyDescent="0.2">
      <c r="G1620" s="79"/>
      <c r="J1620" s="79"/>
      <c r="M1620" s="104"/>
      <c r="P1620" s="79"/>
      <c r="S1620" s="79"/>
      <c r="V1620" s="79"/>
    </row>
    <row r="1621" spans="7:22" x14ac:dyDescent="0.2">
      <c r="G1621" s="79"/>
      <c r="J1621" s="79"/>
      <c r="M1621" s="104"/>
      <c r="P1621" s="79"/>
      <c r="S1621" s="79"/>
      <c r="V1621" s="79"/>
    </row>
    <row r="1622" spans="7:22" x14ac:dyDescent="0.2">
      <c r="G1622" s="79"/>
      <c r="J1622" s="79"/>
      <c r="M1622" s="104"/>
      <c r="P1622" s="79"/>
      <c r="S1622" s="79"/>
      <c r="V1622" s="79"/>
    </row>
    <row r="1623" spans="7:22" x14ac:dyDescent="0.2">
      <c r="G1623" s="79"/>
      <c r="J1623" s="79"/>
      <c r="M1623" s="104"/>
      <c r="P1623" s="79"/>
      <c r="S1623" s="79"/>
      <c r="V1623" s="79"/>
    </row>
    <row r="1624" spans="7:22" x14ac:dyDescent="0.2">
      <c r="G1624" s="79"/>
      <c r="J1624" s="79"/>
      <c r="M1624" s="104"/>
      <c r="P1624" s="79"/>
      <c r="S1624" s="79"/>
      <c r="V1624" s="79"/>
    </row>
    <row r="1625" spans="7:22" x14ac:dyDescent="0.2">
      <c r="G1625" s="79"/>
      <c r="J1625" s="79"/>
      <c r="M1625" s="104"/>
      <c r="P1625" s="79"/>
      <c r="S1625" s="79"/>
      <c r="V1625" s="79"/>
    </row>
    <row r="1626" spans="7:22" x14ac:dyDescent="0.2">
      <c r="G1626" s="79"/>
      <c r="J1626" s="79"/>
      <c r="M1626" s="104"/>
      <c r="P1626" s="79"/>
      <c r="S1626" s="79"/>
      <c r="V1626" s="79"/>
    </row>
    <row r="1627" spans="7:22" x14ac:dyDescent="0.2">
      <c r="G1627" s="79"/>
      <c r="J1627" s="79"/>
      <c r="M1627" s="104"/>
      <c r="P1627" s="79"/>
      <c r="S1627" s="79"/>
      <c r="V1627" s="79"/>
    </row>
    <row r="1628" spans="7:22" x14ac:dyDescent="0.2">
      <c r="G1628" s="79"/>
      <c r="J1628" s="79"/>
      <c r="M1628" s="104"/>
      <c r="P1628" s="79"/>
      <c r="S1628" s="79"/>
      <c r="V1628" s="79"/>
    </row>
    <row r="1629" spans="7:22" x14ac:dyDescent="0.2">
      <c r="G1629" s="79"/>
      <c r="J1629" s="79"/>
      <c r="M1629" s="104"/>
      <c r="P1629" s="79"/>
      <c r="S1629" s="79"/>
      <c r="V1629" s="79"/>
    </row>
    <row r="1630" spans="7:22" x14ac:dyDescent="0.2">
      <c r="G1630" s="79"/>
      <c r="J1630" s="79"/>
      <c r="M1630" s="104"/>
      <c r="P1630" s="79"/>
      <c r="S1630" s="79"/>
      <c r="V1630" s="79"/>
    </row>
    <row r="1631" spans="7:22" x14ac:dyDescent="0.2">
      <c r="G1631" s="79"/>
      <c r="J1631" s="79"/>
      <c r="M1631" s="104"/>
      <c r="P1631" s="79"/>
      <c r="S1631" s="79"/>
      <c r="V1631" s="79"/>
    </row>
    <row r="1632" spans="7:22" x14ac:dyDescent="0.2">
      <c r="G1632" s="79"/>
      <c r="J1632" s="79"/>
      <c r="M1632" s="104"/>
      <c r="P1632" s="79"/>
      <c r="S1632" s="79"/>
      <c r="V1632" s="79"/>
    </row>
    <row r="1633" spans="7:22" x14ac:dyDescent="0.2">
      <c r="G1633" s="79"/>
      <c r="J1633" s="79"/>
      <c r="M1633" s="104"/>
      <c r="P1633" s="79"/>
      <c r="S1633" s="79"/>
      <c r="V1633" s="79"/>
    </row>
    <row r="1634" spans="7:22" x14ac:dyDescent="0.2">
      <c r="G1634" s="79"/>
      <c r="J1634" s="79"/>
      <c r="M1634" s="104"/>
      <c r="P1634" s="79"/>
      <c r="S1634" s="79"/>
      <c r="V1634" s="79"/>
    </row>
    <row r="1635" spans="7:22" x14ac:dyDescent="0.2">
      <c r="G1635" s="79"/>
      <c r="J1635" s="79"/>
      <c r="M1635" s="104"/>
      <c r="P1635" s="79"/>
      <c r="S1635" s="79"/>
      <c r="V1635" s="79"/>
    </row>
    <row r="1636" spans="7:22" x14ac:dyDescent="0.2">
      <c r="G1636" s="79"/>
      <c r="J1636" s="79"/>
      <c r="M1636" s="104"/>
      <c r="P1636" s="79"/>
      <c r="S1636" s="79"/>
      <c r="V1636" s="79"/>
    </row>
    <row r="1637" spans="7:22" x14ac:dyDescent="0.2">
      <c r="G1637" s="79"/>
      <c r="J1637" s="79"/>
      <c r="M1637" s="104"/>
      <c r="P1637" s="79"/>
      <c r="S1637" s="79"/>
      <c r="V1637" s="79"/>
    </row>
    <row r="1638" spans="7:22" x14ac:dyDescent="0.2">
      <c r="G1638" s="79"/>
      <c r="J1638" s="79"/>
      <c r="M1638" s="104"/>
      <c r="P1638" s="79"/>
      <c r="S1638" s="79"/>
      <c r="V1638" s="79"/>
    </row>
    <row r="1639" spans="7:22" x14ac:dyDescent="0.2">
      <c r="G1639" s="79"/>
      <c r="J1639" s="79"/>
      <c r="M1639" s="104"/>
      <c r="P1639" s="79"/>
      <c r="S1639" s="79"/>
      <c r="V1639" s="79"/>
    </row>
    <row r="1640" spans="7:22" x14ac:dyDescent="0.2">
      <c r="G1640" s="79"/>
      <c r="J1640" s="79"/>
      <c r="M1640" s="104"/>
      <c r="P1640" s="79"/>
      <c r="S1640" s="79"/>
      <c r="V1640" s="79"/>
    </row>
    <row r="1641" spans="7:22" x14ac:dyDescent="0.2">
      <c r="G1641" s="79"/>
      <c r="J1641" s="79"/>
      <c r="M1641" s="104"/>
      <c r="P1641" s="79"/>
      <c r="S1641" s="79"/>
      <c r="V1641" s="79"/>
    </row>
    <row r="1642" spans="7:22" x14ac:dyDescent="0.2">
      <c r="G1642" s="79"/>
      <c r="J1642" s="79"/>
      <c r="M1642" s="104"/>
      <c r="P1642" s="79"/>
      <c r="S1642" s="79"/>
      <c r="V1642" s="79"/>
    </row>
    <row r="1643" spans="7:22" x14ac:dyDescent="0.2">
      <c r="G1643" s="79"/>
      <c r="J1643" s="79"/>
      <c r="M1643" s="104"/>
      <c r="P1643" s="79"/>
      <c r="S1643" s="79"/>
      <c r="V1643" s="79"/>
    </row>
    <row r="1644" spans="7:22" x14ac:dyDescent="0.2">
      <c r="G1644" s="79"/>
      <c r="J1644" s="79"/>
      <c r="M1644" s="104"/>
      <c r="P1644" s="79"/>
      <c r="S1644" s="79"/>
      <c r="V1644" s="79"/>
    </row>
    <row r="1645" spans="7:22" x14ac:dyDescent="0.2">
      <c r="G1645" s="79"/>
      <c r="J1645" s="79"/>
      <c r="M1645" s="104"/>
      <c r="P1645" s="79"/>
      <c r="S1645" s="79"/>
      <c r="V1645" s="79"/>
    </row>
    <row r="1646" spans="7:22" x14ac:dyDescent="0.2">
      <c r="G1646" s="79"/>
      <c r="J1646" s="79"/>
      <c r="M1646" s="104"/>
      <c r="P1646" s="79"/>
      <c r="S1646" s="79"/>
      <c r="V1646" s="79"/>
    </row>
    <row r="1647" spans="7:22" x14ac:dyDescent="0.2">
      <c r="G1647" s="79"/>
      <c r="J1647" s="79"/>
      <c r="M1647" s="104"/>
      <c r="P1647" s="79"/>
      <c r="S1647" s="79"/>
      <c r="V1647" s="79"/>
    </row>
    <row r="1648" spans="7:22" x14ac:dyDescent="0.2">
      <c r="G1648" s="79"/>
      <c r="J1648" s="79"/>
      <c r="M1648" s="104"/>
      <c r="P1648" s="79"/>
      <c r="S1648" s="79"/>
      <c r="V1648" s="79"/>
    </row>
    <row r="1649" spans="7:22" x14ac:dyDescent="0.2">
      <c r="G1649" s="79"/>
      <c r="J1649" s="79"/>
      <c r="M1649" s="104"/>
      <c r="P1649" s="79"/>
      <c r="S1649" s="79"/>
      <c r="V1649" s="79"/>
    </row>
    <row r="1650" spans="7:22" x14ac:dyDescent="0.2">
      <c r="G1650" s="79"/>
      <c r="J1650" s="79"/>
      <c r="M1650" s="104"/>
      <c r="P1650" s="79"/>
      <c r="S1650" s="79"/>
      <c r="V1650" s="79"/>
    </row>
    <row r="1651" spans="7:22" x14ac:dyDescent="0.2">
      <c r="G1651" s="79"/>
      <c r="J1651" s="79"/>
      <c r="M1651" s="104"/>
      <c r="P1651" s="79"/>
      <c r="S1651" s="79"/>
      <c r="V1651" s="79"/>
    </row>
    <row r="1652" spans="7:22" x14ac:dyDescent="0.2">
      <c r="G1652" s="79"/>
      <c r="J1652" s="79"/>
      <c r="M1652" s="104"/>
      <c r="P1652" s="79"/>
      <c r="S1652" s="79"/>
      <c r="V1652" s="79"/>
    </row>
    <row r="1653" spans="7:22" x14ac:dyDescent="0.2">
      <c r="G1653" s="79"/>
      <c r="J1653" s="79"/>
      <c r="M1653" s="104"/>
      <c r="P1653" s="79"/>
      <c r="S1653" s="79"/>
      <c r="V1653" s="79"/>
    </row>
    <row r="1654" spans="7:22" x14ac:dyDescent="0.2">
      <c r="G1654" s="79"/>
      <c r="J1654" s="79"/>
      <c r="M1654" s="104"/>
      <c r="P1654" s="79"/>
      <c r="S1654" s="79"/>
      <c r="V1654" s="79"/>
    </row>
    <row r="1655" spans="7:22" x14ac:dyDescent="0.2">
      <c r="G1655" s="79"/>
      <c r="J1655" s="79"/>
      <c r="M1655" s="104"/>
      <c r="P1655" s="79"/>
      <c r="S1655" s="79"/>
      <c r="V1655" s="79"/>
    </row>
    <row r="1656" spans="7:22" x14ac:dyDescent="0.2">
      <c r="G1656" s="79"/>
      <c r="J1656" s="79"/>
      <c r="M1656" s="104"/>
      <c r="P1656" s="79"/>
      <c r="S1656" s="79"/>
      <c r="V1656" s="79"/>
    </row>
    <row r="1657" spans="7:22" x14ac:dyDescent="0.2">
      <c r="G1657" s="79"/>
      <c r="J1657" s="79"/>
      <c r="M1657" s="104"/>
      <c r="P1657" s="79"/>
      <c r="S1657" s="79"/>
      <c r="V1657" s="79"/>
    </row>
    <row r="1658" spans="7:22" x14ac:dyDescent="0.2">
      <c r="G1658" s="79"/>
      <c r="J1658" s="79"/>
      <c r="M1658" s="104"/>
      <c r="P1658" s="79"/>
      <c r="S1658" s="79"/>
      <c r="V1658" s="79"/>
    </row>
    <row r="1659" spans="7:22" x14ac:dyDescent="0.2">
      <c r="G1659" s="79"/>
      <c r="J1659" s="79"/>
      <c r="M1659" s="104"/>
      <c r="P1659" s="79"/>
      <c r="S1659" s="79"/>
      <c r="V1659" s="79"/>
    </row>
    <row r="1660" spans="7:22" x14ac:dyDescent="0.2">
      <c r="G1660" s="79"/>
      <c r="J1660" s="79"/>
      <c r="M1660" s="104"/>
      <c r="P1660" s="79"/>
      <c r="S1660" s="79"/>
      <c r="V1660" s="79"/>
    </row>
    <row r="1661" spans="7:22" x14ac:dyDescent="0.2">
      <c r="G1661" s="79"/>
      <c r="J1661" s="79"/>
      <c r="M1661" s="104"/>
      <c r="P1661" s="79"/>
      <c r="S1661" s="79"/>
      <c r="V1661" s="79"/>
    </row>
    <row r="1662" spans="7:22" x14ac:dyDescent="0.2">
      <c r="G1662" s="79"/>
      <c r="J1662" s="79"/>
      <c r="M1662" s="104"/>
      <c r="P1662" s="79"/>
      <c r="S1662" s="79"/>
      <c r="V1662" s="79"/>
    </row>
    <row r="1663" spans="7:22" x14ac:dyDescent="0.2">
      <c r="G1663" s="79"/>
      <c r="J1663" s="79"/>
      <c r="M1663" s="104"/>
      <c r="P1663" s="79"/>
      <c r="S1663" s="79"/>
      <c r="V1663" s="79"/>
    </row>
    <row r="1664" spans="7:22" x14ac:dyDescent="0.2">
      <c r="G1664" s="79"/>
      <c r="J1664" s="79"/>
      <c r="M1664" s="104"/>
      <c r="P1664" s="79"/>
      <c r="S1664" s="79"/>
      <c r="V1664" s="79"/>
    </row>
    <row r="1665" spans="7:22" x14ac:dyDescent="0.2">
      <c r="G1665" s="79"/>
      <c r="J1665" s="79"/>
      <c r="M1665" s="104"/>
      <c r="P1665" s="79"/>
      <c r="S1665" s="79"/>
      <c r="V1665" s="79"/>
    </row>
    <row r="1666" spans="7:22" x14ac:dyDescent="0.2">
      <c r="G1666" s="79"/>
      <c r="J1666" s="79"/>
      <c r="M1666" s="104"/>
      <c r="P1666" s="79"/>
      <c r="S1666" s="79"/>
      <c r="V1666" s="79"/>
    </row>
    <row r="1667" spans="7:22" x14ac:dyDescent="0.2">
      <c r="G1667" s="79"/>
      <c r="J1667" s="79"/>
      <c r="M1667" s="104"/>
      <c r="P1667" s="79"/>
      <c r="S1667" s="79"/>
      <c r="V1667" s="79"/>
    </row>
    <row r="1668" spans="7:22" x14ac:dyDescent="0.2">
      <c r="G1668" s="79"/>
      <c r="J1668" s="79"/>
      <c r="M1668" s="104"/>
      <c r="P1668" s="79"/>
      <c r="S1668" s="79"/>
      <c r="V1668" s="79"/>
    </row>
    <row r="1669" spans="7:22" x14ac:dyDescent="0.2">
      <c r="G1669" s="79"/>
      <c r="J1669" s="79"/>
      <c r="M1669" s="104"/>
      <c r="P1669" s="79"/>
      <c r="S1669" s="79"/>
      <c r="V1669" s="79"/>
    </row>
    <row r="1670" spans="7:22" x14ac:dyDescent="0.2">
      <c r="G1670" s="79"/>
      <c r="J1670" s="79"/>
      <c r="M1670" s="104"/>
      <c r="P1670" s="79"/>
      <c r="S1670" s="79"/>
      <c r="V1670" s="79"/>
    </row>
    <row r="1671" spans="7:22" x14ac:dyDescent="0.2">
      <c r="G1671" s="79"/>
      <c r="J1671" s="79"/>
      <c r="M1671" s="104"/>
      <c r="P1671" s="79"/>
      <c r="S1671" s="79"/>
      <c r="V1671" s="79"/>
    </row>
    <row r="1672" spans="7:22" x14ac:dyDescent="0.2">
      <c r="G1672" s="79"/>
      <c r="J1672" s="79"/>
      <c r="M1672" s="104"/>
      <c r="P1672" s="79"/>
      <c r="S1672" s="79"/>
      <c r="V1672" s="79"/>
    </row>
    <row r="1673" spans="7:22" x14ac:dyDescent="0.2">
      <c r="G1673" s="79"/>
      <c r="J1673" s="79"/>
      <c r="M1673" s="104"/>
      <c r="P1673" s="79"/>
      <c r="S1673" s="79"/>
      <c r="V1673" s="79"/>
    </row>
    <row r="1674" spans="7:22" x14ac:dyDescent="0.2">
      <c r="G1674" s="79"/>
      <c r="J1674" s="79"/>
      <c r="M1674" s="104"/>
      <c r="P1674" s="79"/>
      <c r="S1674" s="79"/>
      <c r="V1674" s="79"/>
    </row>
    <row r="1675" spans="7:22" x14ac:dyDescent="0.2">
      <c r="G1675" s="79"/>
      <c r="J1675" s="79"/>
      <c r="M1675" s="104"/>
      <c r="P1675" s="79"/>
      <c r="S1675" s="79"/>
      <c r="V1675" s="79"/>
    </row>
    <row r="1676" spans="7:22" x14ac:dyDescent="0.2">
      <c r="G1676" s="79"/>
      <c r="J1676" s="79"/>
      <c r="M1676" s="104"/>
      <c r="P1676" s="79"/>
      <c r="S1676" s="79"/>
      <c r="V1676" s="79"/>
    </row>
    <row r="1677" spans="7:22" x14ac:dyDescent="0.2">
      <c r="G1677" s="79"/>
      <c r="J1677" s="79"/>
      <c r="M1677" s="104"/>
      <c r="P1677" s="79"/>
      <c r="S1677" s="79"/>
      <c r="V1677" s="79"/>
    </row>
    <row r="1678" spans="7:22" x14ac:dyDescent="0.2">
      <c r="G1678" s="79"/>
      <c r="J1678" s="79"/>
      <c r="M1678" s="104"/>
      <c r="P1678" s="79"/>
      <c r="S1678" s="79"/>
      <c r="V1678" s="79"/>
    </row>
    <row r="1679" spans="7:22" x14ac:dyDescent="0.2">
      <c r="G1679" s="79"/>
      <c r="J1679" s="79"/>
      <c r="M1679" s="104"/>
      <c r="P1679" s="79"/>
      <c r="S1679" s="79"/>
      <c r="V1679" s="79"/>
    </row>
    <row r="1680" spans="7:22" x14ac:dyDescent="0.2">
      <c r="G1680" s="79"/>
      <c r="J1680" s="79"/>
      <c r="M1680" s="104"/>
      <c r="P1680" s="79"/>
      <c r="S1680" s="79"/>
      <c r="V1680" s="79"/>
    </row>
    <row r="1681" spans="7:22" x14ac:dyDescent="0.2">
      <c r="G1681" s="79"/>
      <c r="J1681" s="79"/>
      <c r="M1681" s="104"/>
      <c r="P1681" s="79"/>
      <c r="S1681" s="79"/>
      <c r="V1681" s="79"/>
    </row>
    <row r="1682" spans="7:22" x14ac:dyDescent="0.2">
      <c r="G1682" s="79"/>
      <c r="J1682" s="79"/>
      <c r="M1682" s="104"/>
      <c r="P1682" s="79"/>
      <c r="S1682" s="79"/>
      <c r="V1682" s="79"/>
    </row>
    <row r="1683" spans="7:22" x14ac:dyDescent="0.2">
      <c r="G1683" s="79"/>
      <c r="J1683" s="79"/>
      <c r="M1683" s="104"/>
      <c r="P1683" s="79"/>
      <c r="S1683" s="79"/>
      <c r="V1683" s="79"/>
    </row>
    <row r="1684" spans="7:22" x14ac:dyDescent="0.2">
      <c r="G1684" s="79"/>
      <c r="J1684" s="79"/>
      <c r="M1684" s="104"/>
      <c r="P1684" s="79"/>
      <c r="S1684" s="79"/>
      <c r="V1684" s="79"/>
    </row>
    <row r="1685" spans="7:22" x14ac:dyDescent="0.2">
      <c r="G1685" s="79"/>
      <c r="J1685" s="79"/>
      <c r="M1685" s="104"/>
      <c r="P1685" s="79"/>
      <c r="S1685" s="79"/>
      <c r="V1685" s="79"/>
    </row>
    <row r="1686" spans="7:22" x14ac:dyDescent="0.2">
      <c r="G1686" s="79"/>
      <c r="J1686" s="79"/>
      <c r="M1686" s="104"/>
      <c r="P1686" s="79"/>
      <c r="S1686" s="79"/>
      <c r="V1686" s="79"/>
    </row>
    <row r="1687" spans="7:22" x14ac:dyDescent="0.2">
      <c r="G1687" s="79"/>
      <c r="J1687" s="79"/>
      <c r="M1687" s="104"/>
      <c r="P1687" s="79"/>
      <c r="S1687" s="79"/>
      <c r="V1687" s="79"/>
    </row>
    <row r="1688" spans="7:22" x14ac:dyDescent="0.2">
      <c r="G1688" s="79"/>
      <c r="J1688" s="79"/>
      <c r="M1688" s="104"/>
      <c r="P1688" s="79"/>
      <c r="S1688" s="79"/>
      <c r="V1688" s="79"/>
    </row>
    <row r="1689" spans="7:22" x14ac:dyDescent="0.2">
      <c r="G1689" s="79"/>
      <c r="J1689" s="79"/>
      <c r="M1689" s="104"/>
      <c r="P1689" s="79"/>
      <c r="S1689" s="79"/>
      <c r="V1689" s="79"/>
    </row>
    <row r="1690" spans="7:22" x14ac:dyDescent="0.2">
      <c r="G1690" s="79"/>
      <c r="J1690" s="79"/>
      <c r="M1690" s="104"/>
      <c r="P1690" s="79"/>
      <c r="S1690" s="79"/>
      <c r="V1690" s="79"/>
    </row>
    <row r="1691" spans="7:22" x14ac:dyDescent="0.2">
      <c r="G1691" s="79"/>
      <c r="J1691" s="79"/>
      <c r="M1691" s="104"/>
      <c r="P1691" s="79"/>
      <c r="S1691" s="79"/>
      <c r="V1691" s="79"/>
    </row>
    <row r="1692" spans="7:22" x14ac:dyDescent="0.2">
      <c r="G1692" s="79"/>
      <c r="J1692" s="79"/>
      <c r="M1692" s="104"/>
      <c r="P1692" s="79"/>
      <c r="S1692" s="79"/>
      <c r="V1692" s="79"/>
    </row>
    <row r="1693" spans="7:22" x14ac:dyDescent="0.2">
      <c r="G1693" s="79"/>
      <c r="J1693" s="79"/>
      <c r="M1693" s="104"/>
      <c r="P1693" s="79"/>
      <c r="S1693" s="79"/>
      <c r="V1693" s="79"/>
    </row>
    <row r="1694" spans="7:22" x14ac:dyDescent="0.2">
      <c r="G1694" s="79"/>
      <c r="J1694" s="79"/>
      <c r="M1694" s="104"/>
      <c r="P1694" s="79"/>
      <c r="S1694" s="79"/>
      <c r="V1694" s="79"/>
    </row>
    <row r="1695" spans="7:22" x14ac:dyDescent="0.2">
      <c r="G1695" s="79"/>
      <c r="J1695" s="79"/>
      <c r="M1695" s="104"/>
      <c r="P1695" s="79"/>
      <c r="S1695" s="79"/>
      <c r="V1695" s="79"/>
    </row>
    <row r="1696" spans="7:22" x14ac:dyDescent="0.2">
      <c r="G1696" s="79"/>
      <c r="J1696" s="79"/>
      <c r="M1696" s="104"/>
      <c r="P1696" s="79"/>
      <c r="S1696" s="79"/>
      <c r="V1696" s="79"/>
    </row>
    <row r="1697" spans="7:22" x14ac:dyDescent="0.2">
      <c r="G1697" s="79"/>
      <c r="J1697" s="79"/>
      <c r="M1697" s="104"/>
      <c r="P1697" s="79"/>
      <c r="S1697" s="79"/>
      <c r="V1697" s="79"/>
    </row>
    <row r="1698" spans="7:22" x14ac:dyDescent="0.2">
      <c r="G1698" s="79"/>
      <c r="J1698" s="79"/>
      <c r="M1698" s="104"/>
      <c r="P1698" s="79"/>
      <c r="S1698" s="79"/>
      <c r="V1698" s="79"/>
    </row>
    <row r="1699" spans="7:22" x14ac:dyDescent="0.2">
      <c r="G1699" s="79"/>
      <c r="J1699" s="79"/>
      <c r="M1699" s="104"/>
      <c r="P1699" s="79"/>
      <c r="S1699" s="79"/>
      <c r="V1699" s="79"/>
    </row>
    <row r="1700" spans="7:22" x14ac:dyDescent="0.2">
      <c r="G1700" s="79"/>
      <c r="J1700" s="79"/>
      <c r="M1700" s="104"/>
      <c r="P1700" s="79"/>
      <c r="S1700" s="79"/>
      <c r="V1700" s="79"/>
    </row>
    <row r="1701" spans="7:22" x14ac:dyDescent="0.2">
      <c r="G1701" s="79"/>
      <c r="J1701" s="79"/>
      <c r="M1701" s="104"/>
      <c r="P1701" s="79"/>
      <c r="S1701" s="79"/>
      <c r="V1701" s="79"/>
    </row>
    <row r="1702" spans="7:22" x14ac:dyDescent="0.2">
      <c r="G1702" s="79"/>
      <c r="J1702" s="79"/>
      <c r="M1702" s="104"/>
      <c r="P1702" s="79"/>
      <c r="S1702" s="79"/>
      <c r="V1702" s="79"/>
    </row>
    <row r="1703" spans="7:22" x14ac:dyDescent="0.2">
      <c r="G1703" s="79"/>
      <c r="J1703" s="79"/>
      <c r="M1703" s="104"/>
      <c r="P1703" s="79"/>
      <c r="S1703" s="79"/>
      <c r="V1703" s="79"/>
    </row>
    <row r="1704" spans="7:22" x14ac:dyDescent="0.2">
      <c r="G1704" s="79"/>
      <c r="J1704" s="79"/>
      <c r="M1704" s="104"/>
      <c r="P1704" s="79"/>
      <c r="S1704" s="79"/>
      <c r="V1704" s="79"/>
    </row>
    <row r="1705" spans="7:22" x14ac:dyDescent="0.2">
      <c r="G1705" s="79"/>
      <c r="J1705" s="79"/>
      <c r="M1705" s="104"/>
      <c r="P1705" s="79"/>
      <c r="S1705" s="79"/>
      <c r="V1705" s="79"/>
    </row>
    <row r="1706" spans="7:22" x14ac:dyDescent="0.2">
      <c r="G1706" s="79"/>
      <c r="J1706" s="79"/>
      <c r="M1706" s="104"/>
      <c r="P1706" s="79"/>
      <c r="S1706" s="79"/>
      <c r="V1706" s="79"/>
    </row>
    <row r="1707" spans="7:22" x14ac:dyDescent="0.2">
      <c r="G1707" s="79"/>
      <c r="J1707" s="79"/>
      <c r="M1707" s="104"/>
      <c r="P1707" s="79"/>
      <c r="S1707" s="79"/>
      <c r="V1707" s="79"/>
    </row>
    <row r="1708" spans="7:22" x14ac:dyDescent="0.2">
      <c r="G1708" s="79"/>
      <c r="J1708" s="79"/>
      <c r="M1708" s="104"/>
      <c r="P1708" s="79"/>
      <c r="S1708" s="79"/>
      <c r="V1708" s="79"/>
    </row>
    <row r="1709" spans="7:22" x14ac:dyDescent="0.2">
      <c r="G1709" s="79"/>
      <c r="J1709" s="79"/>
      <c r="M1709" s="104"/>
      <c r="P1709" s="79"/>
      <c r="S1709" s="79"/>
      <c r="V1709" s="79"/>
    </row>
    <row r="1710" spans="7:22" x14ac:dyDescent="0.2">
      <c r="G1710" s="79"/>
      <c r="J1710" s="79"/>
      <c r="M1710" s="104"/>
      <c r="P1710" s="79"/>
      <c r="S1710" s="79"/>
      <c r="V1710" s="79"/>
    </row>
    <row r="1711" spans="7:22" x14ac:dyDescent="0.2">
      <c r="G1711" s="79"/>
      <c r="J1711" s="79"/>
      <c r="M1711" s="104"/>
      <c r="P1711" s="79"/>
      <c r="S1711" s="79"/>
      <c r="V1711" s="79"/>
    </row>
    <row r="1712" spans="7:22" x14ac:dyDescent="0.2">
      <c r="G1712" s="79"/>
      <c r="J1712" s="79"/>
      <c r="M1712" s="104"/>
      <c r="P1712" s="79"/>
      <c r="S1712" s="79"/>
      <c r="V1712" s="79"/>
    </row>
    <row r="1713" spans="7:22" x14ac:dyDescent="0.2">
      <c r="G1713" s="79"/>
      <c r="J1713" s="79"/>
      <c r="M1713" s="104"/>
      <c r="P1713" s="79"/>
      <c r="S1713" s="79"/>
      <c r="V1713" s="79"/>
    </row>
    <row r="1714" spans="7:22" x14ac:dyDescent="0.2">
      <c r="G1714" s="79"/>
      <c r="J1714" s="79"/>
      <c r="M1714" s="104"/>
      <c r="P1714" s="79"/>
      <c r="S1714" s="79"/>
      <c r="V1714" s="79"/>
    </row>
    <row r="1715" spans="7:22" x14ac:dyDescent="0.2">
      <c r="G1715" s="79"/>
      <c r="J1715" s="79"/>
      <c r="M1715" s="104"/>
      <c r="P1715" s="79"/>
      <c r="S1715" s="79"/>
      <c r="V1715" s="79"/>
    </row>
    <row r="1716" spans="7:22" x14ac:dyDescent="0.2">
      <c r="G1716" s="79"/>
      <c r="J1716" s="79"/>
      <c r="M1716" s="104"/>
      <c r="P1716" s="79"/>
      <c r="S1716" s="79"/>
      <c r="V1716" s="79"/>
    </row>
    <row r="1717" spans="7:22" x14ac:dyDescent="0.2">
      <c r="G1717" s="79"/>
      <c r="J1717" s="79"/>
      <c r="M1717" s="104"/>
      <c r="P1717" s="79"/>
      <c r="S1717" s="79"/>
      <c r="V1717" s="79"/>
    </row>
    <row r="1718" spans="7:22" x14ac:dyDescent="0.2">
      <c r="G1718" s="79"/>
      <c r="J1718" s="79"/>
      <c r="M1718" s="104"/>
      <c r="P1718" s="79"/>
      <c r="S1718" s="79"/>
      <c r="V1718" s="79"/>
    </row>
    <row r="1719" spans="7:22" x14ac:dyDescent="0.2">
      <c r="G1719" s="79"/>
      <c r="J1719" s="79"/>
      <c r="M1719" s="104"/>
      <c r="P1719" s="79"/>
      <c r="S1719" s="79"/>
      <c r="V1719" s="79"/>
    </row>
    <row r="1720" spans="7:22" x14ac:dyDescent="0.2">
      <c r="G1720" s="79"/>
      <c r="J1720" s="79"/>
      <c r="M1720" s="104"/>
      <c r="P1720" s="79"/>
      <c r="S1720" s="79"/>
      <c r="V1720" s="79"/>
    </row>
    <row r="1721" spans="7:22" x14ac:dyDescent="0.2">
      <c r="G1721" s="79"/>
      <c r="J1721" s="79"/>
      <c r="M1721" s="104"/>
      <c r="P1721" s="79"/>
      <c r="S1721" s="79"/>
      <c r="V1721" s="79"/>
    </row>
    <row r="1722" spans="7:22" x14ac:dyDescent="0.2">
      <c r="G1722" s="79"/>
      <c r="J1722" s="79"/>
      <c r="M1722" s="104"/>
      <c r="P1722" s="79"/>
      <c r="S1722" s="79"/>
      <c r="V1722" s="79"/>
    </row>
    <row r="1723" spans="7:22" x14ac:dyDescent="0.2">
      <c r="G1723" s="79"/>
      <c r="J1723" s="79"/>
      <c r="M1723" s="104"/>
      <c r="P1723" s="79"/>
      <c r="S1723" s="79"/>
      <c r="V1723" s="79"/>
    </row>
    <row r="1724" spans="7:22" x14ac:dyDescent="0.2">
      <c r="G1724" s="79"/>
      <c r="J1724" s="79"/>
      <c r="M1724" s="104"/>
      <c r="P1724" s="79"/>
      <c r="S1724" s="79"/>
      <c r="V1724" s="79"/>
    </row>
    <row r="1725" spans="7:22" x14ac:dyDescent="0.2">
      <c r="G1725" s="79"/>
      <c r="J1725" s="79"/>
      <c r="M1725" s="104"/>
      <c r="P1725" s="79"/>
      <c r="S1725" s="79"/>
      <c r="V1725" s="79"/>
    </row>
    <row r="1726" spans="7:22" x14ac:dyDescent="0.2">
      <c r="G1726" s="79"/>
      <c r="J1726" s="79"/>
      <c r="M1726" s="104"/>
      <c r="P1726" s="79"/>
      <c r="S1726" s="79"/>
      <c r="V1726" s="79"/>
    </row>
    <row r="1727" spans="7:22" x14ac:dyDescent="0.2">
      <c r="G1727" s="79"/>
      <c r="J1727" s="79"/>
      <c r="M1727" s="104"/>
      <c r="P1727" s="79"/>
      <c r="S1727" s="79"/>
      <c r="V1727" s="79"/>
    </row>
    <row r="1728" spans="7:22" x14ac:dyDescent="0.2">
      <c r="G1728" s="79"/>
      <c r="J1728" s="79"/>
      <c r="M1728" s="104"/>
      <c r="P1728" s="79"/>
      <c r="S1728" s="79"/>
      <c r="V1728" s="79"/>
    </row>
    <row r="1729" spans="7:22" x14ac:dyDescent="0.2">
      <c r="G1729" s="79"/>
      <c r="J1729" s="79"/>
      <c r="M1729" s="104"/>
      <c r="P1729" s="79"/>
      <c r="S1729" s="79"/>
      <c r="V1729" s="79"/>
    </row>
    <row r="1730" spans="7:22" x14ac:dyDescent="0.2">
      <c r="G1730" s="79"/>
      <c r="J1730" s="79"/>
      <c r="M1730" s="104"/>
      <c r="P1730" s="79"/>
      <c r="S1730" s="79"/>
      <c r="V1730" s="79"/>
    </row>
    <row r="1731" spans="7:22" x14ac:dyDescent="0.2">
      <c r="G1731" s="79"/>
      <c r="J1731" s="79"/>
      <c r="M1731" s="104"/>
      <c r="P1731" s="79"/>
      <c r="S1731" s="79"/>
      <c r="V1731" s="79"/>
    </row>
    <row r="1732" spans="7:22" x14ac:dyDescent="0.2">
      <c r="G1732" s="79"/>
      <c r="J1732" s="79"/>
      <c r="M1732" s="104"/>
      <c r="P1732" s="79"/>
      <c r="S1732" s="79"/>
      <c r="V1732" s="79"/>
    </row>
    <row r="1733" spans="7:22" x14ac:dyDescent="0.2">
      <c r="G1733" s="79"/>
      <c r="J1733" s="79"/>
      <c r="M1733" s="104"/>
      <c r="P1733" s="79"/>
      <c r="S1733" s="79"/>
      <c r="V1733" s="79"/>
    </row>
    <row r="1734" spans="7:22" x14ac:dyDescent="0.2">
      <c r="G1734" s="79"/>
      <c r="J1734" s="79"/>
      <c r="M1734" s="104"/>
      <c r="P1734" s="79"/>
      <c r="S1734" s="79"/>
      <c r="V1734" s="79"/>
    </row>
    <row r="1735" spans="7:22" x14ac:dyDescent="0.2">
      <c r="G1735" s="79"/>
      <c r="J1735" s="79"/>
      <c r="M1735" s="104"/>
      <c r="P1735" s="79"/>
      <c r="S1735" s="79"/>
      <c r="V1735" s="79"/>
    </row>
    <row r="1736" spans="7:22" x14ac:dyDescent="0.2">
      <c r="G1736" s="79"/>
      <c r="J1736" s="79"/>
      <c r="M1736" s="104"/>
      <c r="P1736" s="79"/>
      <c r="S1736" s="79"/>
      <c r="V1736" s="79"/>
    </row>
    <row r="1737" spans="7:22" x14ac:dyDescent="0.2">
      <c r="G1737" s="79"/>
      <c r="J1737" s="79"/>
      <c r="M1737" s="104"/>
      <c r="P1737" s="79"/>
      <c r="S1737" s="79"/>
      <c r="V1737" s="79"/>
    </row>
    <row r="1738" spans="7:22" x14ac:dyDescent="0.2">
      <c r="G1738" s="79"/>
      <c r="J1738" s="79"/>
      <c r="M1738" s="104"/>
      <c r="P1738" s="79"/>
      <c r="S1738" s="79"/>
      <c r="V1738" s="79"/>
    </row>
    <row r="1739" spans="7:22" x14ac:dyDescent="0.2">
      <c r="G1739" s="79"/>
      <c r="J1739" s="79"/>
      <c r="M1739" s="104"/>
      <c r="P1739" s="79"/>
      <c r="S1739" s="79"/>
      <c r="V1739" s="79"/>
    </row>
    <row r="1740" spans="7:22" x14ac:dyDescent="0.2">
      <c r="G1740" s="79"/>
      <c r="J1740" s="79"/>
      <c r="M1740" s="104"/>
      <c r="P1740" s="79"/>
      <c r="S1740" s="79"/>
      <c r="V1740" s="79"/>
    </row>
    <row r="1741" spans="7:22" x14ac:dyDescent="0.2">
      <c r="G1741" s="79"/>
      <c r="J1741" s="79"/>
      <c r="M1741" s="104"/>
      <c r="P1741" s="79"/>
      <c r="S1741" s="79"/>
      <c r="V1741" s="79"/>
    </row>
    <row r="1742" spans="7:22" x14ac:dyDescent="0.2">
      <c r="G1742" s="79"/>
      <c r="J1742" s="79"/>
      <c r="M1742" s="104"/>
      <c r="P1742" s="79"/>
      <c r="S1742" s="79"/>
      <c r="V1742" s="79"/>
    </row>
    <row r="1743" spans="7:22" x14ac:dyDescent="0.2">
      <c r="G1743" s="79"/>
      <c r="J1743" s="79"/>
      <c r="M1743" s="104"/>
      <c r="P1743" s="79"/>
      <c r="S1743" s="79"/>
      <c r="V1743" s="79"/>
    </row>
    <row r="1744" spans="7:22" x14ac:dyDescent="0.2">
      <c r="G1744" s="79"/>
      <c r="J1744" s="79"/>
      <c r="M1744" s="104"/>
      <c r="P1744" s="79"/>
      <c r="S1744" s="79"/>
      <c r="V1744" s="79"/>
    </row>
    <row r="1745" spans="7:22" x14ac:dyDescent="0.2">
      <c r="G1745" s="79"/>
      <c r="J1745" s="79"/>
      <c r="M1745" s="104"/>
      <c r="P1745" s="79"/>
      <c r="S1745" s="79"/>
      <c r="V1745" s="79"/>
    </row>
    <row r="1746" spans="7:22" x14ac:dyDescent="0.2">
      <c r="G1746" s="79"/>
      <c r="J1746" s="79"/>
      <c r="M1746" s="104"/>
      <c r="P1746" s="79"/>
      <c r="S1746" s="79"/>
      <c r="V1746" s="79"/>
    </row>
    <row r="1747" spans="7:22" x14ac:dyDescent="0.2">
      <c r="G1747" s="79"/>
      <c r="J1747" s="79"/>
      <c r="M1747" s="104"/>
      <c r="P1747" s="79"/>
      <c r="S1747" s="79"/>
      <c r="V1747" s="79"/>
    </row>
    <row r="1748" spans="7:22" x14ac:dyDescent="0.2">
      <c r="G1748" s="79"/>
      <c r="J1748" s="79"/>
      <c r="M1748" s="104"/>
      <c r="P1748" s="79"/>
      <c r="S1748" s="79"/>
      <c r="V1748" s="79"/>
    </row>
    <row r="1749" spans="7:22" x14ac:dyDescent="0.2">
      <c r="G1749" s="79"/>
      <c r="J1749" s="79"/>
      <c r="M1749" s="104"/>
      <c r="P1749" s="79"/>
      <c r="S1749" s="79"/>
      <c r="V1749" s="79"/>
    </row>
    <row r="1750" spans="7:22" x14ac:dyDescent="0.2">
      <c r="G1750" s="79"/>
      <c r="J1750" s="79"/>
      <c r="M1750" s="104"/>
      <c r="P1750" s="79"/>
      <c r="S1750" s="79"/>
      <c r="V1750" s="79"/>
    </row>
    <row r="1751" spans="7:22" x14ac:dyDescent="0.2">
      <c r="G1751" s="79"/>
      <c r="J1751" s="79"/>
      <c r="M1751" s="104"/>
      <c r="P1751" s="79"/>
      <c r="S1751" s="79"/>
      <c r="V1751" s="79"/>
    </row>
    <row r="1752" spans="7:22" x14ac:dyDescent="0.2">
      <c r="G1752" s="79"/>
      <c r="J1752" s="79"/>
      <c r="M1752" s="104"/>
      <c r="P1752" s="79"/>
      <c r="S1752" s="79"/>
      <c r="V1752" s="79"/>
    </row>
    <row r="1753" spans="7:22" x14ac:dyDescent="0.2">
      <c r="G1753" s="79"/>
      <c r="J1753" s="79"/>
      <c r="M1753" s="104"/>
      <c r="P1753" s="79"/>
      <c r="S1753" s="79"/>
      <c r="V1753" s="79"/>
    </row>
    <row r="1754" spans="7:22" x14ac:dyDescent="0.2">
      <c r="G1754" s="79"/>
      <c r="J1754" s="79"/>
      <c r="M1754" s="104"/>
      <c r="P1754" s="79"/>
      <c r="S1754" s="79"/>
      <c r="V1754" s="79"/>
    </row>
    <row r="1755" spans="7:22" x14ac:dyDescent="0.2">
      <c r="G1755" s="79"/>
      <c r="J1755" s="79"/>
      <c r="M1755" s="104"/>
      <c r="P1755" s="79"/>
      <c r="S1755" s="79"/>
      <c r="V1755" s="79"/>
    </row>
    <row r="1756" spans="7:22" x14ac:dyDescent="0.2">
      <c r="G1756" s="79"/>
      <c r="J1756" s="79"/>
      <c r="M1756" s="104"/>
      <c r="P1756" s="79"/>
      <c r="S1756" s="79"/>
      <c r="V1756" s="79"/>
    </row>
    <row r="1757" spans="7:22" x14ac:dyDescent="0.2">
      <c r="G1757" s="79"/>
      <c r="J1757" s="79"/>
      <c r="M1757" s="104"/>
      <c r="P1757" s="79"/>
      <c r="S1757" s="79"/>
      <c r="V1757" s="79"/>
    </row>
    <row r="1758" spans="7:22" x14ac:dyDescent="0.2">
      <c r="G1758" s="79"/>
      <c r="J1758" s="79"/>
      <c r="M1758" s="104"/>
      <c r="P1758" s="79"/>
      <c r="S1758" s="79"/>
      <c r="V1758" s="79"/>
    </row>
    <row r="1759" spans="7:22" x14ac:dyDescent="0.2">
      <c r="G1759" s="79"/>
      <c r="J1759" s="79"/>
      <c r="M1759" s="104"/>
      <c r="P1759" s="79"/>
      <c r="S1759" s="79"/>
      <c r="V1759" s="79"/>
    </row>
    <row r="1760" spans="7:22" x14ac:dyDescent="0.2">
      <c r="G1760" s="79"/>
      <c r="J1760" s="79"/>
      <c r="M1760" s="104"/>
      <c r="P1760" s="79"/>
      <c r="S1760" s="79"/>
      <c r="V1760" s="79"/>
    </row>
    <row r="1761" spans="7:22" x14ac:dyDescent="0.2">
      <c r="G1761" s="79"/>
      <c r="J1761" s="79"/>
      <c r="M1761" s="104"/>
      <c r="P1761" s="79"/>
      <c r="S1761" s="79"/>
      <c r="V1761" s="79"/>
    </row>
    <row r="1762" spans="7:22" x14ac:dyDescent="0.2">
      <c r="G1762" s="79"/>
      <c r="J1762" s="79"/>
      <c r="M1762" s="104"/>
      <c r="P1762" s="79"/>
      <c r="S1762" s="79"/>
      <c r="V1762" s="79"/>
    </row>
    <row r="1763" spans="7:22" x14ac:dyDescent="0.2">
      <c r="G1763" s="79"/>
      <c r="J1763" s="79"/>
      <c r="M1763" s="104"/>
      <c r="P1763" s="79"/>
      <c r="S1763" s="79"/>
      <c r="V1763" s="79"/>
    </row>
    <row r="1764" spans="7:22" x14ac:dyDescent="0.2">
      <c r="G1764" s="79"/>
      <c r="J1764" s="79"/>
      <c r="M1764" s="104"/>
      <c r="P1764" s="79"/>
      <c r="S1764" s="79"/>
      <c r="V1764" s="79"/>
    </row>
    <row r="1765" spans="7:22" x14ac:dyDescent="0.2">
      <c r="G1765" s="79"/>
      <c r="J1765" s="79"/>
      <c r="M1765" s="104"/>
      <c r="P1765" s="79"/>
      <c r="S1765" s="79"/>
      <c r="V1765" s="79"/>
    </row>
    <row r="1766" spans="7:22" x14ac:dyDescent="0.2">
      <c r="G1766" s="79"/>
      <c r="J1766" s="79"/>
      <c r="M1766" s="104"/>
      <c r="P1766" s="79"/>
      <c r="S1766" s="79"/>
      <c r="V1766" s="79"/>
    </row>
    <row r="1767" spans="7:22" x14ac:dyDescent="0.2">
      <c r="G1767" s="79"/>
      <c r="J1767" s="79"/>
      <c r="M1767" s="104"/>
      <c r="P1767" s="79"/>
      <c r="S1767" s="79"/>
      <c r="V1767" s="79"/>
    </row>
    <row r="1768" spans="7:22" x14ac:dyDescent="0.2">
      <c r="G1768" s="79"/>
      <c r="J1768" s="79"/>
      <c r="M1768" s="104"/>
      <c r="P1768" s="79"/>
      <c r="S1768" s="79"/>
      <c r="V1768" s="79"/>
    </row>
    <row r="1769" spans="7:22" x14ac:dyDescent="0.2">
      <c r="G1769" s="79"/>
      <c r="J1769" s="79"/>
      <c r="M1769" s="104"/>
      <c r="P1769" s="79"/>
      <c r="S1769" s="79"/>
      <c r="V1769" s="79"/>
    </row>
    <row r="1770" spans="7:22" x14ac:dyDescent="0.2">
      <c r="G1770" s="79"/>
      <c r="J1770" s="79"/>
      <c r="M1770" s="104"/>
      <c r="P1770" s="79"/>
      <c r="S1770" s="79"/>
      <c r="V1770" s="79"/>
    </row>
    <row r="1771" spans="7:22" x14ac:dyDescent="0.2">
      <c r="G1771" s="79"/>
      <c r="J1771" s="79"/>
      <c r="M1771" s="104"/>
      <c r="P1771" s="79"/>
      <c r="S1771" s="79"/>
      <c r="V1771" s="79"/>
    </row>
    <row r="1772" spans="7:22" x14ac:dyDescent="0.2">
      <c r="G1772" s="79"/>
      <c r="J1772" s="79"/>
      <c r="M1772" s="104"/>
      <c r="P1772" s="79"/>
      <c r="S1772" s="79"/>
      <c r="V1772" s="79"/>
    </row>
    <row r="1773" spans="7:22" x14ac:dyDescent="0.2">
      <c r="G1773" s="79"/>
      <c r="J1773" s="79"/>
      <c r="M1773" s="104"/>
      <c r="P1773" s="79"/>
      <c r="S1773" s="79"/>
      <c r="V1773" s="79"/>
    </row>
    <row r="1774" spans="7:22" x14ac:dyDescent="0.2">
      <c r="G1774" s="79"/>
      <c r="J1774" s="79"/>
      <c r="M1774" s="104"/>
      <c r="P1774" s="79"/>
      <c r="S1774" s="79"/>
      <c r="V1774" s="79"/>
    </row>
    <row r="1775" spans="7:22" x14ac:dyDescent="0.2">
      <c r="G1775" s="79"/>
      <c r="J1775" s="79"/>
      <c r="M1775" s="104"/>
      <c r="P1775" s="79"/>
      <c r="S1775" s="79"/>
      <c r="V1775" s="79"/>
    </row>
    <row r="1776" spans="7:22" x14ac:dyDescent="0.2">
      <c r="G1776" s="79"/>
      <c r="J1776" s="79"/>
      <c r="M1776" s="104"/>
      <c r="P1776" s="79"/>
      <c r="S1776" s="79"/>
      <c r="V1776" s="79"/>
    </row>
    <row r="1777" spans="7:22" x14ac:dyDescent="0.2">
      <c r="G1777" s="79"/>
      <c r="J1777" s="79"/>
      <c r="M1777" s="104"/>
      <c r="P1777" s="79"/>
      <c r="S1777" s="79"/>
      <c r="V1777" s="79"/>
    </row>
    <row r="1778" spans="7:22" x14ac:dyDescent="0.2">
      <c r="G1778" s="79"/>
      <c r="J1778" s="79"/>
      <c r="M1778" s="104"/>
      <c r="P1778" s="79"/>
      <c r="S1778" s="79"/>
      <c r="V1778" s="79"/>
    </row>
    <row r="1779" spans="7:22" x14ac:dyDescent="0.2">
      <c r="G1779" s="79"/>
      <c r="J1779" s="79"/>
      <c r="M1779" s="104"/>
      <c r="P1779" s="79"/>
      <c r="S1779" s="79"/>
      <c r="V1779" s="79"/>
    </row>
    <row r="1780" spans="7:22" x14ac:dyDescent="0.2">
      <c r="G1780" s="79"/>
      <c r="J1780" s="79"/>
      <c r="M1780" s="104"/>
      <c r="P1780" s="79"/>
      <c r="S1780" s="79"/>
      <c r="V1780" s="79"/>
    </row>
    <row r="1781" spans="7:22" x14ac:dyDescent="0.2">
      <c r="G1781" s="79"/>
      <c r="J1781" s="79"/>
      <c r="M1781" s="104"/>
      <c r="P1781" s="79"/>
      <c r="S1781" s="79"/>
      <c r="V1781" s="79"/>
    </row>
    <row r="1782" spans="7:22" x14ac:dyDescent="0.2">
      <c r="G1782" s="79"/>
      <c r="J1782" s="79"/>
      <c r="M1782" s="104"/>
      <c r="P1782" s="79"/>
      <c r="S1782" s="79"/>
      <c r="V1782" s="79"/>
    </row>
    <row r="1783" spans="7:22" x14ac:dyDescent="0.2">
      <c r="G1783" s="79"/>
      <c r="J1783" s="79"/>
      <c r="M1783" s="104"/>
      <c r="P1783" s="79"/>
      <c r="S1783" s="79"/>
      <c r="V1783" s="79"/>
    </row>
    <row r="1784" spans="7:22" x14ac:dyDescent="0.2">
      <c r="G1784" s="79"/>
      <c r="J1784" s="79"/>
      <c r="M1784" s="104"/>
      <c r="P1784" s="79"/>
      <c r="S1784" s="79"/>
      <c r="V1784" s="79"/>
    </row>
    <row r="1785" spans="7:22" x14ac:dyDescent="0.2">
      <c r="G1785" s="79"/>
      <c r="J1785" s="79"/>
      <c r="M1785" s="104"/>
      <c r="P1785" s="79"/>
      <c r="S1785" s="79"/>
      <c r="V1785" s="79"/>
    </row>
    <row r="1786" spans="7:22" x14ac:dyDescent="0.2">
      <c r="G1786" s="79"/>
      <c r="J1786" s="79"/>
      <c r="M1786" s="104"/>
      <c r="P1786" s="79"/>
      <c r="S1786" s="79"/>
      <c r="V1786" s="79"/>
    </row>
    <row r="1787" spans="7:22" x14ac:dyDescent="0.2">
      <c r="G1787" s="79"/>
      <c r="J1787" s="79"/>
      <c r="M1787" s="104"/>
      <c r="P1787" s="79"/>
      <c r="S1787" s="79"/>
      <c r="V1787" s="79"/>
    </row>
    <row r="1788" spans="7:22" x14ac:dyDescent="0.2">
      <c r="G1788" s="79"/>
      <c r="J1788" s="79"/>
      <c r="M1788" s="104"/>
      <c r="P1788" s="79"/>
      <c r="S1788" s="79"/>
      <c r="V1788" s="79"/>
    </row>
    <row r="1789" spans="7:22" x14ac:dyDescent="0.2">
      <c r="G1789" s="79"/>
      <c r="J1789" s="79"/>
      <c r="M1789" s="104"/>
      <c r="P1789" s="79"/>
      <c r="S1789" s="79"/>
      <c r="V1789" s="79"/>
    </row>
    <row r="1790" spans="7:22" x14ac:dyDescent="0.2">
      <c r="G1790" s="79"/>
      <c r="J1790" s="79"/>
      <c r="M1790" s="104"/>
      <c r="P1790" s="79"/>
      <c r="S1790" s="79"/>
      <c r="V1790" s="79"/>
    </row>
    <row r="1791" spans="7:22" x14ac:dyDescent="0.2">
      <c r="G1791" s="79"/>
      <c r="J1791" s="79"/>
      <c r="M1791" s="104"/>
      <c r="P1791" s="79"/>
      <c r="S1791" s="79"/>
      <c r="V1791" s="79"/>
    </row>
    <row r="1792" spans="7:22" x14ac:dyDescent="0.2">
      <c r="G1792" s="79"/>
      <c r="J1792" s="79"/>
      <c r="M1792" s="104"/>
      <c r="P1792" s="79"/>
      <c r="S1792" s="79"/>
      <c r="V1792" s="79"/>
    </row>
    <row r="1793" spans="7:22" x14ac:dyDescent="0.2">
      <c r="G1793" s="79"/>
      <c r="J1793" s="79"/>
      <c r="M1793" s="104"/>
      <c r="P1793" s="79"/>
      <c r="S1793" s="79"/>
      <c r="V1793" s="79"/>
    </row>
    <row r="1794" spans="7:22" x14ac:dyDescent="0.2">
      <c r="G1794" s="79"/>
      <c r="J1794" s="79"/>
      <c r="M1794" s="104"/>
      <c r="P1794" s="79"/>
      <c r="S1794" s="79"/>
      <c r="V1794" s="79"/>
    </row>
    <row r="1795" spans="7:22" x14ac:dyDescent="0.2">
      <c r="G1795" s="79"/>
      <c r="J1795" s="79"/>
      <c r="M1795" s="104"/>
      <c r="P1795" s="79"/>
      <c r="S1795" s="79"/>
      <c r="V1795" s="79"/>
    </row>
    <row r="1796" spans="7:22" x14ac:dyDescent="0.2">
      <c r="G1796" s="79"/>
      <c r="J1796" s="79"/>
      <c r="M1796" s="104"/>
      <c r="P1796" s="79"/>
      <c r="S1796" s="79"/>
      <c r="V1796" s="79"/>
    </row>
    <row r="1797" spans="7:22" x14ac:dyDescent="0.2">
      <c r="G1797" s="79"/>
      <c r="J1797" s="79"/>
      <c r="M1797" s="104"/>
      <c r="P1797" s="79"/>
      <c r="S1797" s="79"/>
      <c r="V1797" s="79"/>
    </row>
    <row r="1798" spans="7:22" x14ac:dyDescent="0.2">
      <c r="G1798" s="79"/>
      <c r="J1798" s="79"/>
      <c r="M1798" s="104"/>
      <c r="P1798" s="79"/>
      <c r="S1798" s="79"/>
      <c r="V1798" s="79"/>
    </row>
    <row r="1799" spans="7:22" x14ac:dyDescent="0.2">
      <c r="G1799" s="79"/>
      <c r="J1799" s="79"/>
      <c r="M1799" s="104"/>
      <c r="P1799" s="79"/>
      <c r="S1799" s="79"/>
      <c r="V1799" s="79"/>
    </row>
    <row r="1800" spans="7:22" x14ac:dyDescent="0.2">
      <c r="G1800" s="79"/>
      <c r="J1800" s="79"/>
      <c r="M1800" s="104"/>
      <c r="P1800" s="79"/>
      <c r="S1800" s="79"/>
      <c r="V1800" s="79"/>
    </row>
    <row r="1801" spans="7:22" x14ac:dyDescent="0.2">
      <c r="G1801" s="79"/>
      <c r="J1801" s="79"/>
      <c r="M1801" s="104"/>
      <c r="P1801" s="79"/>
      <c r="S1801" s="79"/>
      <c r="V1801" s="79"/>
    </row>
    <row r="1802" spans="7:22" x14ac:dyDescent="0.2">
      <c r="G1802" s="79"/>
      <c r="J1802" s="79"/>
      <c r="M1802" s="104"/>
      <c r="P1802" s="79"/>
      <c r="S1802" s="79"/>
      <c r="V1802" s="79"/>
    </row>
    <row r="1803" spans="7:22" x14ac:dyDescent="0.2">
      <c r="G1803" s="79"/>
      <c r="J1803" s="79"/>
      <c r="M1803" s="104"/>
      <c r="P1803" s="79"/>
      <c r="S1803" s="79"/>
      <c r="V1803" s="79"/>
    </row>
    <row r="1804" spans="7:22" x14ac:dyDescent="0.2">
      <c r="G1804" s="79"/>
      <c r="J1804" s="79"/>
      <c r="M1804" s="104"/>
      <c r="P1804" s="79"/>
      <c r="S1804" s="79"/>
      <c r="V1804" s="79"/>
    </row>
    <row r="1805" spans="7:22" x14ac:dyDescent="0.2">
      <c r="G1805" s="79"/>
      <c r="J1805" s="79"/>
      <c r="M1805" s="104"/>
      <c r="P1805" s="79"/>
      <c r="S1805" s="79"/>
      <c r="V1805" s="79"/>
    </row>
    <row r="1806" spans="7:22" x14ac:dyDescent="0.2">
      <c r="G1806" s="79"/>
      <c r="J1806" s="79"/>
      <c r="M1806" s="104"/>
      <c r="P1806" s="79"/>
      <c r="S1806" s="79"/>
      <c r="V1806" s="79"/>
    </row>
    <row r="1807" spans="7:22" x14ac:dyDescent="0.2">
      <c r="G1807" s="79"/>
      <c r="J1807" s="79"/>
      <c r="M1807" s="104"/>
      <c r="P1807" s="79"/>
      <c r="S1807" s="79"/>
      <c r="V1807" s="79"/>
    </row>
    <row r="1808" spans="7:22" x14ac:dyDescent="0.2">
      <c r="G1808" s="79"/>
      <c r="J1808" s="79"/>
      <c r="M1808" s="104"/>
      <c r="P1808" s="79"/>
      <c r="S1808" s="79"/>
      <c r="V1808" s="79"/>
    </row>
    <row r="1809" spans="7:22" x14ac:dyDescent="0.2">
      <c r="G1809" s="79"/>
      <c r="J1809" s="79"/>
      <c r="M1809" s="104"/>
      <c r="P1809" s="79"/>
      <c r="S1809" s="79"/>
      <c r="V1809" s="79"/>
    </row>
    <row r="1810" spans="7:22" x14ac:dyDescent="0.2">
      <c r="G1810" s="79"/>
      <c r="J1810" s="79"/>
      <c r="M1810" s="104"/>
      <c r="P1810" s="79"/>
      <c r="S1810" s="79"/>
      <c r="V1810" s="79"/>
    </row>
    <row r="1811" spans="7:22" x14ac:dyDescent="0.2">
      <c r="G1811" s="79"/>
      <c r="J1811" s="79"/>
      <c r="M1811" s="104"/>
      <c r="P1811" s="79"/>
      <c r="S1811" s="79"/>
      <c r="V1811" s="79"/>
    </row>
    <row r="1812" spans="7:22" x14ac:dyDescent="0.2">
      <c r="G1812" s="79"/>
      <c r="J1812" s="79"/>
      <c r="M1812" s="104"/>
      <c r="P1812" s="79"/>
      <c r="S1812" s="79"/>
      <c r="V1812" s="79"/>
    </row>
    <row r="1813" spans="7:22" x14ac:dyDescent="0.2">
      <c r="G1813" s="79"/>
      <c r="J1813" s="79"/>
      <c r="M1813" s="104"/>
      <c r="P1813" s="79"/>
      <c r="S1813" s="79"/>
      <c r="V1813" s="79"/>
    </row>
    <row r="1814" spans="7:22" x14ac:dyDescent="0.2">
      <c r="G1814" s="79"/>
      <c r="J1814" s="79"/>
      <c r="M1814" s="104"/>
      <c r="P1814" s="79"/>
      <c r="S1814" s="79"/>
      <c r="V1814" s="79"/>
    </row>
    <row r="1815" spans="7:22" x14ac:dyDescent="0.2">
      <c r="G1815" s="79"/>
      <c r="J1815" s="79"/>
      <c r="M1815" s="104"/>
      <c r="P1815" s="79"/>
      <c r="S1815" s="79"/>
      <c r="V1815" s="79"/>
    </row>
    <row r="1816" spans="7:22" x14ac:dyDescent="0.2">
      <c r="G1816" s="79"/>
      <c r="J1816" s="79"/>
      <c r="M1816" s="104"/>
      <c r="P1816" s="79"/>
      <c r="S1816" s="79"/>
      <c r="V1816" s="79"/>
    </row>
    <row r="1817" spans="7:22" x14ac:dyDescent="0.2">
      <c r="G1817" s="79"/>
      <c r="J1817" s="79"/>
      <c r="M1817" s="104"/>
      <c r="P1817" s="79"/>
      <c r="S1817" s="79"/>
      <c r="V1817" s="79"/>
    </row>
    <row r="1818" spans="7:22" x14ac:dyDescent="0.2">
      <c r="G1818" s="79"/>
      <c r="J1818" s="79"/>
      <c r="M1818" s="104"/>
      <c r="P1818" s="79"/>
      <c r="S1818" s="79"/>
      <c r="V1818" s="79"/>
    </row>
    <row r="1819" spans="7:22" x14ac:dyDescent="0.2">
      <c r="G1819" s="79"/>
      <c r="J1819" s="79"/>
      <c r="M1819" s="104"/>
      <c r="P1819" s="79"/>
      <c r="S1819" s="79"/>
      <c r="V1819" s="79"/>
    </row>
    <row r="1820" spans="7:22" x14ac:dyDescent="0.2">
      <c r="G1820" s="79"/>
      <c r="J1820" s="79"/>
      <c r="M1820" s="104"/>
      <c r="P1820" s="79"/>
      <c r="S1820" s="79"/>
      <c r="V1820" s="79"/>
    </row>
    <row r="1821" spans="7:22" x14ac:dyDescent="0.2">
      <c r="G1821" s="79"/>
      <c r="J1821" s="79"/>
      <c r="M1821" s="104"/>
      <c r="P1821" s="79"/>
      <c r="S1821" s="79"/>
      <c r="V1821" s="79"/>
    </row>
    <row r="1822" spans="7:22" x14ac:dyDescent="0.2">
      <c r="G1822" s="79"/>
      <c r="J1822" s="79"/>
      <c r="M1822" s="104"/>
      <c r="P1822" s="79"/>
      <c r="S1822" s="79"/>
      <c r="V1822" s="79"/>
    </row>
    <row r="1823" spans="7:22" x14ac:dyDescent="0.2">
      <c r="G1823" s="79"/>
      <c r="J1823" s="79"/>
      <c r="M1823" s="104"/>
      <c r="P1823" s="79"/>
      <c r="S1823" s="79"/>
      <c r="V1823" s="79"/>
    </row>
    <row r="1824" spans="7:22" x14ac:dyDescent="0.2">
      <c r="G1824" s="79"/>
      <c r="J1824" s="79"/>
      <c r="M1824" s="104"/>
      <c r="P1824" s="79"/>
      <c r="S1824" s="79"/>
      <c r="V1824" s="79"/>
    </row>
    <row r="1825" spans="7:22" x14ac:dyDescent="0.2">
      <c r="G1825" s="79"/>
      <c r="J1825" s="79"/>
      <c r="M1825" s="104"/>
      <c r="P1825" s="79"/>
      <c r="S1825" s="79"/>
      <c r="V1825" s="79"/>
    </row>
    <row r="1826" spans="7:22" x14ac:dyDescent="0.2">
      <c r="G1826" s="79"/>
      <c r="J1826" s="79"/>
      <c r="M1826" s="104"/>
      <c r="P1826" s="79"/>
      <c r="S1826" s="79"/>
      <c r="V1826" s="79"/>
    </row>
    <row r="1827" spans="7:22" x14ac:dyDescent="0.2">
      <c r="G1827" s="79"/>
      <c r="J1827" s="79"/>
      <c r="M1827" s="104"/>
      <c r="P1827" s="79"/>
      <c r="S1827" s="79"/>
      <c r="V1827" s="79"/>
    </row>
    <row r="1828" spans="7:22" x14ac:dyDescent="0.2">
      <c r="G1828" s="79"/>
      <c r="J1828" s="79"/>
      <c r="M1828" s="104"/>
      <c r="P1828" s="79"/>
      <c r="S1828" s="79"/>
      <c r="V1828" s="79"/>
    </row>
    <row r="1829" spans="7:22" x14ac:dyDescent="0.2">
      <c r="G1829" s="79"/>
      <c r="J1829" s="79"/>
      <c r="M1829" s="104"/>
      <c r="P1829" s="79"/>
      <c r="S1829" s="79"/>
      <c r="V1829" s="79"/>
    </row>
    <row r="1830" spans="7:22" x14ac:dyDescent="0.2">
      <c r="G1830" s="79"/>
      <c r="J1830" s="79"/>
      <c r="M1830" s="104"/>
      <c r="P1830" s="79"/>
      <c r="S1830" s="79"/>
      <c r="V1830" s="79"/>
    </row>
    <row r="1831" spans="7:22" x14ac:dyDescent="0.2">
      <c r="G1831" s="79"/>
      <c r="J1831" s="79"/>
      <c r="M1831" s="104"/>
      <c r="P1831" s="79"/>
      <c r="S1831" s="79"/>
      <c r="V1831" s="79"/>
    </row>
    <row r="1832" spans="7:22" x14ac:dyDescent="0.2">
      <c r="G1832" s="79"/>
      <c r="J1832" s="79"/>
      <c r="M1832" s="104"/>
      <c r="P1832" s="79"/>
      <c r="S1832" s="79"/>
      <c r="V1832" s="79"/>
    </row>
    <row r="1833" spans="7:22" x14ac:dyDescent="0.2">
      <c r="G1833" s="79"/>
      <c r="J1833" s="79"/>
      <c r="M1833" s="104"/>
      <c r="P1833" s="79"/>
      <c r="S1833" s="79"/>
      <c r="V1833" s="79"/>
    </row>
    <row r="1834" spans="7:22" x14ac:dyDescent="0.2">
      <c r="G1834" s="79"/>
      <c r="J1834" s="79"/>
      <c r="M1834" s="104"/>
      <c r="P1834" s="79"/>
      <c r="S1834" s="79"/>
      <c r="V1834" s="79"/>
    </row>
    <row r="1835" spans="7:22" x14ac:dyDescent="0.2">
      <c r="G1835" s="79"/>
      <c r="J1835" s="79"/>
      <c r="M1835" s="104"/>
      <c r="P1835" s="79"/>
      <c r="S1835" s="79"/>
      <c r="V1835" s="79"/>
    </row>
    <row r="1836" spans="7:22" x14ac:dyDescent="0.2">
      <c r="G1836" s="79"/>
      <c r="J1836" s="79"/>
      <c r="M1836" s="104"/>
      <c r="P1836" s="79"/>
      <c r="S1836" s="79"/>
      <c r="V1836" s="79"/>
    </row>
    <row r="1837" spans="7:22" x14ac:dyDescent="0.2">
      <c r="G1837" s="79"/>
      <c r="J1837" s="79"/>
      <c r="M1837" s="104"/>
      <c r="P1837" s="79"/>
      <c r="S1837" s="79"/>
      <c r="V1837" s="79"/>
    </row>
    <row r="1838" spans="7:22" x14ac:dyDescent="0.2">
      <c r="G1838" s="79"/>
      <c r="J1838" s="79"/>
      <c r="M1838" s="104"/>
      <c r="P1838" s="79"/>
      <c r="S1838" s="79"/>
      <c r="V1838" s="79"/>
    </row>
    <row r="1839" spans="7:22" x14ac:dyDescent="0.2">
      <c r="G1839" s="79"/>
      <c r="J1839" s="79"/>
      <c r="M1839" s="104"/>
      <c r="P1839" s="79"/>
      <c r="S1839" s="79"/>
      <c r="V1839" s="79"/>
    </row>
    <row r="1840" spans="7:22" x14ac:dyDescent="0.2">
      <c r="G1840" s="79"/>
      <c r="J1840" s="79"/>
      <c r="M1840" s="104"/>
      <c r="P1840" s="79"/>
      <c r="S1840" s="79"/>
      <c r="V1840" s="79"/>
    </row>
    <row r="1841" spans="7:22" x14ac:dyDescent="0.2">
      <c r="G1841" s="79"/>
      <c r="J1841" s="79"/>
      <c r="M1841" s="104"/>
      <c r="P1841" s="79"/>
      <c r="S1841" s="79"/>
      <c r="V1841" s="79"/>
    </row>
    <row r="1842" spans="7:22" x14ac:dyDescent="0.2">
      <c r="G1842" s="79"/>
      <c r="J1842" s="79"/>
      <c r="M1842" s="104"/>
      <c r="P1842" s="79"/>
      <c r="S1842" s="79"/>
      <c r="V1842" s="79"/>
    </row>
    <row r="1843" spans="7:22" x14ac:dyDescent="0.2">
      <c r="G1843" s="79"/>
      <c r="J1843" s="79"/>
      <c r="M1843" s="104"/>
      <c r="P1843" s="79"/>
      <c r="S1843" s="79"/>
      <c r="V1843" s="79"/>
    </row>
    <row r="1844" spans="7:22" x14ac:dyDescent="0.2">
      <c r="G1844" s="79"/>
      <c r="J1844" s="79"/>
      <c r="M1844" s="104"/>
      <c r="P1844" s="79"/>
      <c r="S1844" s="79"/>
      <c r="V1844" s="79"/>
    </row>
    <row r="1845" spans="7:22" x14ac:dyDescent="0.2">
      <c r="G1845" s="79"/>
      <c r="J1845" s="79"/>
      <c r="M1845" s="104"/>
      <c r="P1845" s="79"/>
      <c r="S1845" s="79"/>
      <c r="V1845" s="79"/>
    </row>
    <row r="1846" spans="7:22" x14ac:dyDescent="0.2">
      <c r="G1846" s="79"/>
      <c r="J1846" s="79"/>
      <c r="M1846" s="104"/>
      <c r="P1846" s="79"/>
      <c r="S1846" s="79"/>
      <c r="V1846" s="79"/>
    </row>
    <row r="1847" spans="7:22" x14ac:dyDescent="0.2">
      <c r="G1847" s="79"/>
      <c r="J1847" s="79"/>
      <c r="M1847" s="104"/>
      <c r="P1847" s="79"/>
      <c r="S1847" s="79"/>
      <c r="V1847" s="79"/>
    </row>
    <row r="1848" spans="7:22" x14ac:dyDescent="0.2">
      <c r="G1848" s="79"/>
      <c r="J1848" s="79"/>
      <c r="M1848" s="104"/>
      <c r="P1848" s="79"/>
      <c r="S1848" s="79"/>
      <c r="V1848" s="79"/>
    </row>
    <row r="1849" spans="7:22" x14ac:dyDescent="0.2">
      <c r="G1849" s="79"/>
      <c r="J1849" s="79"/>
      <c r="M1849" s="104"/>
      <c r="P1849" s="79"/>
      <c r="S1849" s="79"/>
      <c r="V1849" s="79"/>
    </row>
    <row r="1850" spans="7:22" x14ac:dyDescent="0.2">
      <c r="G1850" s="79"/>
      <c r="J1850" s="79"/>
      <c r="M1850" s="104"/>
      <c r="P1850" s="79"/>
      <c r="S1850" s="79"/>
      <c r="V1850" s="79"/>
    </row>
    <row r="1851" spans="7:22" x14ac:dyDescent="0.2">
      <c r="G1851" s="79"/>
      <c r="J1851" s="79"/>
      <c r="M1851" s="104"/>
      <c r="P1851" s="79"/>
      <c r="S1851" s="79"/>
      <c r="V1851" s="79"/>
    </row>
    <row r="1852" spans="7:22" x14ac:dyDescent="0.2">
      <c r="G1852" s="79"/>
      <c r="J1852" s="79"/>
      <c r="M1852" s="104"/>
      <c r="P1852" s="79"/>
      <c r="S1852" s="79"/>
      <c r="V1852" s="79"/>
    </row>
    <row r="1853" spans="7:22" x14ac:dyDescent="0.2">
      <c r="G1853" s="79"/>
      <c r="J1853" s="79"/>
      <c r="M1853" s="104"/>
      <c r="P1853" s="79"/>
      <c r="S1853" s="79"/>
      <c r="V1853" s="79"/>
    </row>
    <row r="1854" spans="7:22" x14ac:dyDescent="0.2">
      <c r="G1854" s="79"/>
      <c r="J1854" s="79"/>
      <c r="M1854" s="104"/>
      <c r="P1854" s="79"/>
      <c r="S1854" s="79"/>
      <c r="V1854" s="79"/>
    </row>
    <row r="1855" spans="7:22" x14ac:dyDescent="0.2">
      <c r="G1855" s="79"/>
      <c r="J1855" s="79"/>
      <c r="M1855" s="104"/>
      <c r="P1855" s="79"/>
      <c r="S1855" s="79"/>
      <c r="V1855" s="79"/>
    </row>
    <row r="1856" spans="7:22" x14ac:dyDescent="0.2">
      <c r="G1856" s="79"/>
      <c r="J1856" s="79"/>
      <c r="M1856" s="104"/>
      <c r="P1856" s="79"/>
      <c r="S1856" s="79"/>
      <c r="V1856" s="79"/>
    </row>
    <row r="1857" spans="7:22" x14ac:dyDescent="0.2">
      <c r="G1857" s="79"/>
      <c r="J1857" s="79"/>
      <c r="M1857" s="104"/>
      <c r="P1857" s="79"/>
      <c r="S1857" s="79"/>
      <c r="V1857" s="79"/>
    </row>
    <row r="1858" spans="7:22" x14ac:dyDescent="0.2">
      <c r="G1858" s="79"/>
      <c r="J1858" s="79"/>
      <c r="M1858" s="104"/>
      <c r="P1858" s="79"/>
      <c r="S1858" s="79"/>
      <c r="V1858" s="79"/>
    </row>
    <row r="1859" spans="7:22" x14ac:dyDescent="0.2">
      <c r="G1859" s="79"/>
      <c r="J1859" s="79"/>
      <c r="M1859" s="104"/>
      <c r="P1859" s="79"/>
      <c r="S1859" s="79"/>
      <c r="V1859" s="79"/>
    </row>
    <row r="1860" spans="7:22" x14ac:dyDescent="0.2">
      <c r="G1860" s="79"/>
      <c r="J1860" s="79"/>
      <c r="M1860" s="104"/>
      <c r="P1860" s="79"/>
      <c r="S1860" s="79"/>
      <c r="V1860" s="79"/>
    </row>
    <row r="1861" spans="7:22" x14ac:dyDescent="0.2">
      <c r="G1861" s="79"/>
      <c r="J1861" s="79"/>
      <c r="M1861" s="104"/>
      <c r="P1861" s="79"/>
      <c r="S1861" s="79"/>
      <c r="V1861" s="79"/>
    </row>
    <row r="1862" spans="7:22" x14ac:dyDescent="0.2">
      <c r="G1862" s="79"/>
      <c r="J1862" s="79"/>
      <c r="M1862" s="104"/>
      <c r="P1862" s="79"/>
      <c r="S1862" s="79"/>
      <c r="V1862" s="79"/>
    </row>
    <row r="1863" spans="7:22" x14ac:dyDescent="0.2">
      <c r="G1863" s="79"/>
      <c r="J1863" s="79"/>
      <c r="M1863" s="104"/>
      <c r="P1863" s="79"/>
      <c r="S1863" s="79"/>
      <c r="V1863" s="79"/>
    </row>
    <row r="1864" spans="7:22" x14ac:dyDescent="0.2">
      <c r="G1864" s="79"/>
      <c r="J1864" s="79"/>
      <c r="M1864" s="104"/>
      <c r="P1864" s="79"/>
      <c r="S1864" s="79"/>
      <c r="V1864" s="79"/>
    </row>
    <row r="1865" spans="7:22" x14ac:dyDescent="0.2">
      <c r="G1865" s="79"/>
      <c r="J1865" s="79"/>
      <c r="M1865" s="104"/>
      <c r="P1865" s="79"/>
      <c r="S1865" s="79"/>
      <c r="V1865" s="79"/>
    </row>
    <row r="1866" spans="7:22" x14ac:dyDescent="0.2">
      <c r="G1866" s="79"/>
      <c r="J1866" s="79"/>
      <c r="M1866" s="104"/>
      <c r="P1866" s="79"/>
      <c r="S1866" s="79"/>
      <c r="V1866" s="79"/>
    </row>
    <row r="1867" spans="7:22" x14ac:dyDescent="0.2">
      <c r="G1867" s="79"/>
      <c r="J1867" s="79"/>
      <c r="M1867" s="104"/>
      <c r="P1867" s="79"/>
      <c r="S1867" s="79"/>
      <c r="V1867" s="79"/>
    </row>
    <row r="1868" spans="7:22" x14ac:dyDescent="0.2">
      <c r="G1868" s="79"/>
      <c r="J1868" s="79"/>
      <c r="M1868" s="104"/>
      <c r="P1868" s="79"/>
      <c r="S1868" s="79"/>
      <c r="V1868" s="79"/>
    </row>
    <row r="1869" spans="7:22" x14ac:dyDescent="0.2">
      <c r="G1869" s="79"/>
      <c r="J1869" s="79"/>
      <c r="M1869" s="104"/>
      <c r="P1869" s="79"/>
      <c r="S1869" s="79"/>
      <c r="V1869" s="79"/>
    </row>
    <row r="1870" spans="7:22" x14ac:dyDescent="0.2">
      <c r="G1870" s="79"/>
      <c r="J1870" s="79"/>
      <c r="M1870" s="104"/>
      <c r="P1870" s="79"/>
      <c r="S1870" s="79"/>
      <c r="V1870" s="79"/>
    </row>
    <row r="1871" spans="7:22" x14ac:dyDescent="0.2">
      <c r="G1871" s="79"/>
      <c r="J1871" s="79"/>
      <c r="M1871" s="104"/>
      <c r="P1871" s="79"/>
      <c r="S1871" s="79"/>
      <c r="V1871" s="79"/>
    </row>
    <row r="1872" spans="7:22" x14ac:dyDescent="0.2">
      <c r="G1872" s="79"/>
      <c r="J1872" s="79"/>
      <c r="M1872" s="104"/>
      <c r="P1872" s="79"/>
      <c r="S1872" s="79"/>
      <c r="V1872" s="79"/>
    </row>
    <row r="1873" spans="7:22" x14ac:dyDescent="0.2">
      <c r="G1873" s="79"/>
      <c r="J1873" s="79"/>
      <c r="M1873" s="104"/>
      <c r="P1873" s="79"/>
      <c r="S1873" s="79"/>
      <c r="V1873" s="79"/>
    </row>
    <row r="1874" spans="7:22" x14ac:dyDescent="0.2">
      <c r="G1874" s="79"/>
      <c r="J1874" s="79"/>
      <c r="M1874" s="104"/>
      <c r="P1874" s="79"/>
      <c r="S1874" s="79"/>
      <c r="V1874" s="79"/>
    </row>
    <row r="1875" spans="7:22" x14ac:dyDescent="0.2">
      <c r="G1875" s="79"/>
      <c r="J1875" s="79"/>
      <c r="M1875" s="104"/>
      <c r="P1875" s="79"/>
      <c r="S1875" s="79"/>
      <c r="V1875" s="79"/>
    </row>
    <row r="1876" spans="7:22" x14ac:dyDescent="0.2">
      <c r="G1876" s="79"/>
      <c r="J1876" s="79"/>
      <c r="M1876" s="104"/>
      <c r="P1876" s="79"/>
      <c r="S1876" s="79"/>
      <c r="V1876" s="79"/>
    </row>
    <row r="1877" spans="7:22" x14ac:dyDescent="0.2">
      <c r="G1877" s="79"/>
      <c r="J1877" s="79"/>
      <c r="M1877" s="104"/>
      <c r="P1877" s="79"/>
      <c r="S1877" s="79"/>
      <c r="V1877" s="79"/>
    </row>
    <row r="1878" spans="7:22" x14ac:dyDescent="0.2">
      <c r="G1878" s="79"/>
      <c r="J1878" s="79"/>
      <c r="M1878" s="104"/>
      <c r="P1878" s="79"/>
      <c r="S1878" s="79"/>
      <c r="V1878" s="79"/>
    </row>
    <row r="1879" spans="7:22" x14ac:dyDescent="0.2">
      <c r="G1879" s="79"/>
      <c r="J1879" s="79"/>
      <c r="M1879" s="104"/>
      <c r="P1879" s="79"/>
      <c r="S1879" s="79"/>
      <c r="V1879" s="79"/>
    </row>
    <row r="1880" spans="7:22" x14ac:dyDescent="0.2">
      <c r="G1880" s="79"/>
      <c r="J1880" s="79"/>
      <c r="M1880" s="104"/>
      <c r="P1880" s="79"/>
      <c r="S1880" s="79"/>
      <c r="V1880" s="79"/>
    </row>
    <row r="1881" spans="7:22" x14ac:dyDescent="0.2">
      <c r="G1881" s="79"/>
      <c r="J1881" s="79"/>
      <c r="M1881" s="104"/>
      <c r="P1881" s="79"/>
      <c r="S1881" s="79"/>
      <c r="V1881" s="79"/>
    </row>
    <row r="1882" spans="7:22" x14ac:dyDescent="0.2">
      <c r="G1882" s="79"/>
      <c r="J1882" s="79"/>
      <c r="M1882" s="104"/>
      <c r="P1882" s="79"/>
      <c r="S1882" s="79"/>
      <c r="V1882" s="79"/>
    </row>
    <row r="1883" spans="7:22" x14ac:dyDescent="0.2">
      <c r="G1883" s="79"/>
      <c r="J1883" s="79"/>
      <c r="M1883" s="104"/>
      <c r="P1883" s="79"/>
      <c r="S1883" s="79"/>
      <c r="V1883" s="79"/>
    </row>
    <row r="1884" spans="7:22" x14ac:dyDescent="0.2">
      <c r="G1884" s="79"/>
      <c r="J1884" s="79"/>
      <c r="M1884" s="104"/>
      <c r="P1884" s="79"/>
      <c r="S1884" s="79"/>
      <c r="V1884" s="79"/>
    </row>
    <row r="1885" spans="7:22" x14ac:dyDescent="0.2">
      <c r="G1885" s="79"/>
      <c r="J1885" s="79"/>
      <c r="M1885" s="104"/>
      <c r="P1885" s="79"/>
      <c r="S1885" s="79"/>
      <c r="V1885" s="79"/>
    </row>
    <row r="1886" spans="7:22" x14ac:dyDescent="0.2">
      <c r="G1886" s="79"/>
      <c r="J1886" s="79"/>
      <c r="M1886" s="104"/>
      <c r="P1886" s="79"/>
      <c r="S1886" s="79"/>
      <c r="V1886" s="79"/>
    </row>
    <row r="1887" spans="7:22" x14ac:dyDescent="0.2">
      <c r="G1887" s="79"/>
      <c r="J1887" s="79"/>
      <c r="M1887" s="104"/>
      <c r="P1887" s="79"/>
      <c r="S1887" s="79"/>
      <c r="V1887" s="79"/>
    </row>
    <row r="1888" spans="7:22" x14ac:dyDescent="0.2">
      <c r="G1888" s="79"/>
      <c r="J1888" s="79"/>
      <c r="M1888" s="104"/>
      <c r="P1888" s="79"/>
      <c r="S1888" s="79"/>
      <c r="V1888" s="79"/>
    </row>
    <row r="1889" spans="7:22" x14ac:dyDescent="0.2">
      <c r="G1889" s="79"/>
      <c r="J1889" s="79"/>
      <c r="M1889" s="104"/>
      <c r="P1889" s="79"/>
      <c r="S1889" s="79"/>
      <c r="V1889" s="79"/>
    </row>
    <row r="1890" spans="7:22" x14ac:dyDescent="0.2">
      <c r="G1890" s="79"/>
      <c r="J1890" s="79"/>
      <c r="M1890" s="104"/>
      <c r="P1890" s="79"/>
      <c r="S1890" s="79"/>
      <c r="V1890" s="79"/>
    </row>
    <row r="1891" spans="7:22" x14ac:dyDescent="0.2">
      <c r="G1891" s="79"/>
      <c r="J1891" s="79"/>
      <c r="M1891" s="104"/>
      <c r="P1891" s="79"/>
      <c r="S1891" s="79"/>
      <c r="V1891" s="79"/>
    </row>
    <row r="1892" spans="7:22" x14ac:dyDescent="0.2">
      <c r="G1892" s="79"/>
      <c r="J1892" s="79"/>
      <c r="M1892" s="104"/>
      <c r="P1892" s="79"/>
      <c r="S1892" s="79"/>
      <c r="V1892" s="79"/>
    </row>
    <row r="1893" spans="7:22" x14ac:dyDescent="0.2">
      <c r="G1893" s="79"/>
      <c r="J1893" s="79"/>
      <c r="M1893" s="104"/>
      <c r="P1893" s="79"/>
      <c r="S1893" s="79"/>
      <c r="V1893" s="79"/>
    </row>
    <row r="1894" spans="7:22" x14ac:dyDescent="0.2">
      <c r="G1894" s="79"/>
      <c r="J1894" s="79"/>
      <c r="M1894" s="104"/>
      <c r="P1894" s="79"/>
      <c r="S1894" s="79"/>
      <c r="V1894" s="79"/>
    </row>
    <row r="1895" spans="7:22" x14ac:dyDescent="0.2">
      <c r="G1895" s="79"/>
      <c r="J1895" s="79"/>
      <c r="M1895" s="104"/>
      <c r="P1895" s="79"/>
      <c r="S1895" s="79"/>
      <c r="V1895" s="79"/>
    </row>
    <row r="1896" spans="7:22" x14ac:dyDescent="0.2">
      <c r="G1896" s="79"/>
      <c r="J1896" s="79"/>
      <c r="M1896" s="104"/>
      <c r="P1896" s="79"/>
      <c r="S1896" s="79"/>
      <c r="V1896" s="79"/>
    </row>
    <row r="1897" spans="7:22" x14ac:dyDescent="0.2">
      <c r="G1897" s="79"/>
      <c r="J1897" s="79"/>
      <c r="M1897" s="104"/>
      <c r="P1897" s="79"/>
      <c r="S1897" s="79"/>
      <c r="V1897" s="79"/>
    </row>
    <row r="1898" spans="7:22" x14ac:dyDescent="0.2">
      <c r="G1898" s="79"/>
      <c r="J1898" s="79"/>
      <c r="M1898" s="104"/>
      <c r="P1898" s="79"/>
      <c r="S1898" s="79"/>
      <c r="V1898" s="79"/>
    </row>
    <row r="1899" spans="7:22" x14ac:dyDescent="0.2">
      <c r="G1899" s="79"/>
      <c r="J1899" s="79"/>
      <c r="M1899" s="104"/>
      <c r="P1899" s="79"/>
      <c r="S1899" s="79"/>
      <c r="V1899" s="79"/>
    </row>
    <row r="1900" spans="7:22" x14ac:dyDescent="0.2">
      <c r="G1900" s="79"/>
      <c r="J1900" s="79"/>
      <c r="M1900" s="104"/>
      <c r="P1900" s="79"/>
      <c r="S1900" s="79"/>
      <c r="V1900" s="79"/>
    </row>
    <row r="1901" spans="7:22" x14ac:dyDescent="0.2">
      <c r="G1901" s="79"/>
      <c r="J1901" s="79"/>
      <c r="M1901" s="104"/>
      <c r="P1901" s="79"/>
      <c r="S1901" s="79"/>
      <c r="V1901" s="79"/>
    </row>
    <row r="1902" spans="7:22" x14ac:dyDescent="0.2">
      <c r="G1902" s="79"/>
      <c r="J1902" s="79"/>
      <c r="M1902" s="104"/>
      <c r="P1902" s="79"/>
      <c r="S1902" s="79"/>
      <c r="V1902" s="79"/>
    </row>
    <row r="1903" spans="7:22" x14ac:dyDescent="0.2">
      <c r="G1903" s="79"/>
      <c r="J1903" s="79"/>
      <c r="M1903" s="104"/>
      <c r="P1903" s="79"/>
      <c r="S1903" s="79"/>
      <c r="V1903" s="79"/>
    </row>
    <row r="1904" spans="7:22" x14ac:dyDescent="0.2">
      <c r="G1904" s="79"/>
      <c r="J1904" s="79"/>
      <c r="M1904" s="104"/>
      <c r="P1904" s="79"/>
      <c r="S1904" s="79"/>
      <c r="V1904" s="79"/>
    </row>
    <row r="1905" spans="7:22" x14ac:dyDescent="0.2">
      <c r="G1905" s="79"/>
      <c r="J1905" s="79"/>
      <c r="M1905" s="104"/>
      <c r="P1905" s="79"/>
      <c r="S1905" s="79"/>
      <c r="V1905" s="79"/>
    </row>
    <row r="1906" spans="7:22" x14ac:dyDescent="0.2">
      <c r="G1906" s="79"/>
      <c r="J1906" s="79"/>
      <c r="M1906" s="104"/>
      <c r="P1906" s="79"/>
      <c r="S1906" s="79"/>
      <c r="V1906" s="79"/>
    </row>
    <row r="1907" spans="7:22" x14ac:dyDescent="0.2">
      <c r="G1907" s="79"/>
      <c r="J1907" s="79"/>
      <c r="M1907" s="104"/>
      <c r="P1907" s="79"/>
      <c r="S1907" s="79"/>
      <c r="V1907" s="79"/>
    </row>
    <row r="1908" spans="7:22" x14ac:dyDescent="0.2">
      <c r="G1908" s="79"/>
      <c r="J1908" s="79"/>
      <c r="M1908" s="104"/>
      <c r="P1908" s="79"/>
      <c r="S1908" s="79"/>
      <c r="V1908" s="79"/>
    </row>
    <row r="1909" spans="7:22" x14ac:dyDescent="0.2">
      <c r="G1909" s="79"/>
      <c r="J1909" s="79"/>
      <c r="M1909" s="104"/>
      <c r="P1909" s="79"/>
      <c r="S1909" s="79"/>
      <c r="V1909" s="79"/>
    </row>
    <row r="1910" spans="7:22" x14ac:dyDescent="0.2">
      <c r="G1910" s="79"/>
      <c r="J1910" s="79"/>
      <c r="M1910" s="104"/>
      <c r="P1910" s="79"/>
      <c r="S1910" s="79"/>
      <c r="V1910" s="79"/>
    </row>
    <row r="1911" spans="7:22" x14ac:dyDescent="0.2">
      <c r="G1911" s="79"/>
      <c r="J1911" s="79"/>
      <c r="M1911" s="104"/>
      <c r="P1911" s="79"/>
      <c r="S1911" s="79"/>
      <c r="V1911" s="79"/>
    </row>
    <row r="1912" spans="7:22" x14ac:dyDescent="0.2">
      <c r="G1912" s="79"/>
      <c r="J1912" s="79"/>
      <c r="M1912" s="104"/>
      <c r="P1912" s="79"/>
      <c r="S1912" s="79"/>
      <c r="V1912" s="79"/>
    </row>
    <row r="1913" spans="7:22" x14ac:dyDescent="0.2">
      <c r="G1913" s="79"/>
      <c r="J1913" s="79"/>
      <c r="M1913" s="104"/>
      <c r="P1913" s="79"/>
      <c r="S1913" s="79"/>
      <c r="V1913" s="79"/>
    </row>
    <row r="1914" spans="7:22" x14ac:dyDescent="0.2">
      <c r="G1914" s="79"/>
      <c r="J1914" s="79"/>
      <c r="M1914" s="104"/>
      <c r="P1914" s="79"/>
      <c r="S1914" s="79"/>
      <c r="V1914" s="79"/>
    </row>
    <row r="1915" spans="7:22" x14ac:dyDescent="0.2">
      <c r="G1915" s="79"/>
      <c r="J1915" s="79"/>
      <c r="M1915" s="104"/>
      <c r="P1915" s="79"/>
      <c r="S1915" s="79"/>
      <c r="V1915" s="79"/>
    </row>
    <row r="1916" spans="7:22" x14ac:dyDescent="0.2">
      <c r="G1916" s="79"/>
      <c r="J1916" s="79"/>
      <c r="M1916" s="104"/>
      <c r="P1916" s="79"/>
      <c r="S1916" s="79"/>
      <c r="V1916" s="79"/>
    </row>
    <row r="1917" spans="7:22" x14ac:dyDescent="0.2">
      <c r="G1917" s="79"/>
      <c r="J1917" s="79"/>
      <c r="M1917" s="104"/>
      <c r="P1917" s="79"/>
      <c r="S1917" s="79"/>
      <c r="V1917" s="79"/>
    </row>
    <row r="1918" spans="7:22" x14ac:dyDescent="0.2">
      <c r="G1918" s="79"/>
      <c r="J1918" s="79"/>
      <c r="M1918" s="104"/>
      <c r="P1918" s="79"/>
      <c r="S1918" s="79"/>
      <c r="V1918" s="79"/>
    </row>
    <row r="1919" spans="7:22" x14ac:dyDescent="0.2">
      <c r="G1919" s="79"/>
      <c r="J1919" s="79"/>
      <c r="M1919" s="104"/>
      <c r="P1919" s="79"/>
      <c r="S1919" s="79"/>
      <c r="V1919" s="79"/>
    </row>
    <row r="1920" spans="7:22" x14ac:dyDescent="0.2">
      <c r="G1920" s="79"/>
      <c r="J1920" s="79"/>
      <c r="M1920" s="104"/>
      <c r="P1920" s="79"/>
      <c r="S1920" s="79"/>
      <c r="V1920" s="79"/>
    </row>
    <row r="1921" spans="7:22" x14ac:dyDescent="0.2">
      <c r="G1921" s="79"/>
      <c r="J1921" s="79"/>
      <c r="M1921" s="104"/>
      <c r="P1921" s="79"/>
      <c r="S1921" s="79"/>
      <c r="V1921" s="79"/>
    </row>
    <row r="1922" spans="7:22" x14ac:dyDescent="0.2">
      <c r="G1922" s="79"/>
      <c r="J1922" s="79"/>
      <c r="M1922" s="104"/>
      <c r="P1922" s="79"/>
      <c r="S1922" s="79"/>
      <c r="V1922" s="79"/>
    </row>
    <row r="1923" spans="7:22" x14ac:dyDescent="0.2">
      <c r="G1923" s="79"/>
      <c r="J1923" s="79"/>
      <c r="M1923" s="104"/>
      <c r="P1923" s="79"/>
      <c r="S1923" s="79"/>
      <c r="V1923" s="79"/>
    </row>
    <row r="1924" spans="7:22" x14ac:dyDescent="0.2">
      <c r="G1924" s="79"/>
      <c r="J1924" s="79"/>
      <c r="M1924" s="104"/>
      <c r="P1924" s="79"/>
      <c r="S1924" s="79"/>
      <c r="V1924" s="79"/>
    </row>
    <row r="1925" spans="7:22" x14ac:dyDescent="0.2">
      <c r="G1925" s="79"/>
      <c r="J1925" s="79"/>
      <c r="M1925" s="104"/>
      <c r="P1925" s="79"/>
      <c r="S1925" s="79"/>
      <c r="V1925" s="79"/>
    </row>
    <row r="1926" spans="7:22" x14ac:dyDescent="0.2">
      <c r="G1926" s="79"/>
      <c r="J1926" s="79"/>
      <c r="M1926" s="104"/>
      <c r="P1926" s="79"/>
      <c r="S1926" s="79"/>
      <c r="V1926" s="79"/>
    </row>
    <row r="1927" spans="7:22" x14ac:dyDescent="0.2">
      <c r="G1927" s="79"/>
      <c r="J1927" s="79"/>
      <c r="M1927" s="104"/>
      <c r="P1927" s="79"/>
      <c r="S1927" s="79"/>
      <c r="V1927" s="79"/>
    </row>
    <row r="1928" spans="7:22" x14ac:dyDescent="0.2">
      <c r="G1928" s="79"/>
      <c r="J1928" s="79"/>
      <c r="M1928" s="104"/>
      <c r="P1928" s="79"/>
      <c r="S1928" s="79"/>
      <c r="V1928" s="79"/>
    </row>
    <row r="1929" spans="7:22" x14ac:dyDescent="0.2">
      <c r="G1929" s="79"/>
      <c r="J1929" s="79"/>
      <c r="M1929" s="104"/>
      <c r="P1929" s="79"/>
      <c r="S1929" s="79"/>
      <c r="V1929" s="79"/>
    </row>
    <row r="1930" spans="7:22" x14ac:dyDescent="0.2">
      <c r="G1930" s="79"/>
      <c r="J1930" s="79"/>
      <c r="M1930" s="104"/>
      <c r="P1930" s="79"/>
      <c r="S1930" s="79"/>
      <c r="V1930" s="79"/>
    </row>
    <row r="1931" spans="7:22" x14ac:dyDescent="0.2">
      <c r="G1931" s="79"/>
      <c r="J1931" s="79"/>
      <c r="M1931" s="104"/>
      <c r="P1931" s="79"/>
      <c r="S1931" s="79"/>
      <c r="V1931" s="79"/>
    </row>
    <row r="1932" spans="7:22" x14ac:dyDescent="0.2">
      <c r="G1932" s="79"/>
      <c r="J1932" s="79"/>
      <c r="M1932" s="104"/>
      <c r="P1932" s="79"/>
      <c r="S1932" s="79"/>
      <c r="V1932" s="79"/>
    </row>
    <row r="1933" spans="7:22" x14ac:dyDescent="0.2">
      <c r="G1933" s="79"/>
      <c r="J1933" s="79"/>
      <c r="M1933" s="104"/>
      <c r="P1933" s="79"/>
      <c r="S1933" s="79"/>
      <c r="V1933" s="79"/>
    </row>
    <row r="1934" spans="7:22" x14ac:dyDescent="0.2">
      <c r="G1934" s="79"/>
      <c r="J1934" s="79"/>
      <c r="M1934" s="104"/>
      <c r="P1934" s="79"/>
      <c r="S1934" s="79"/>
      <c r="V1934" s="79"/>
    </row>
    <row r="1935" spans="7:22" x14ac:dyDescent="0.2">
      <c r="G1935" s="79"/>
      <c r="J1935" s="79"/>
      <c r="M1935" s="104"/>
      <c r="P1935" s="79"/>
      <c r="S1935" s="79"/>
      <c r="V1935" s="79"/>
    </row>
    <row r="1936" spans="7:22" x14ac:dyDescent="0.2">
      <c r="G1936" s="79"/>
      <c r="J1936" s="79"/>
      <c r="M1936" s="104"/>
      <c r="P1936" s="79"/>
      <c r="S1936" s="79"/>
      <c r="V1936" s="79"/>
    </row>
    <row r="1937" spans="7:22" x14ac:dyDescent="0.2">
      <c r="G1937" s="79"/>
      <c r="J1937" s="79"/>
      <c r="M1937" s="104"/>
      <c r="P1937" s="79"/>
      <c r="S1937" s="79"/>
      <c r="V1937" s="79"/>
    </row>
    <row r="1938" spans="7:22" x14ac:dyDescent="0.2">
      <c r="G1938" s="79"/>
      <c r="J1938" s="79"/>
      <c r="M1938" s="104"/>
      <c r="P1938" s="79"/>
      <c r="S1938" s="79"/>
      <c r="V1938" s="79"/>
    </row>
    <row r="1939" spans="7:22" x14ac:dyDescent="0.2">
      <c r="G1939" s="79"/>
      <c r="J1939" s="79"/>
      <c r="M1939" s="104"/>
      <c r="P1939" s="79"/>
      <c r="S1939" s="79"/>
      <c r="V1939" s="79"/>
    </row>
    <row r="1940" spans="7:22" x14ac:dyDescent="0.2">
      <c r="G1940" s="79"/>
      <c r="J1940" s="79"/>
      <c r="M1940" s="104"/>
      <c r="P1940" s="79"/>
      <c r="S1940" s="79"/>
      <c r="V1940" s="79"/>
    </row>
    <row r="1941" spans="7:22" x14ac:dyDescent="0.2">
      <c r="G1941" s="79"/>
      <c r="J1941" s="79"/>
      <c r="M1941" s="104"/>
      <c r="P1941" s="79"/>
      <c r="S1941" s="79"/>
      <c r="V1941" s="79"/>
    </row>
    <row r="1942" spans="7:22" x14ac:dyDescent="0.2">
      <c r="G1942" s="79"/>
      <c r="J1942" s="79"/>
      <c r="M1942" s="104"/>
      <c r="P1942" s="79"/>
      <c r="S1942" s="79"/>
      <c r="V1942" s="79"/>
    </row>
    <row r="1943" spans="7:22" x14ac:dyDescent="0.2">
      <c r="G1943" s="79"/>
      <c r="J1943" s="79"/>
      <c r="M1943" s="104"/>
      <c r="P1943" s="79"/>
      <c r="S1943" s="79"/>
      <c r="V1943" s="79"/>
    </row>
    <row r="1944" spans="7:22" x14ac:dyDescent="0.2">
      <c r="G1944" s="79"/>
      <c r="J1944" s="79"/>
      <c r="M1944" s="104"/>
      <c r="P1944" s="79"/>
      <c r="S1944" s="79"/>
      <c r="V1944" s="79"/>
    </row>
    <row r="1945" spans="7:22" x14ac:dyDescent="0.2">
      <c r="G1945" s="79"/>
      <c r="J1945" s="79"/>
      <c r="M1945" s="104"/>
      <c r="P1945" s="79"/>
      <c r="S1945" s="79"/>
      <c r="V1945" s="79"/>
    </row>
    <row r="1946" spans="7:22" x14ac:dyDescent="0.2">
      <c r="G1946" s="79"/>
      <c r="J1946" s="79"/>
      <c r="M1946" s="104"/>
      <c r="P1946" s="79"/>
      <c r="S1946" s="79"/>
      <c r="V1946" s="79"/>
    </row>
    <row r="1947" spans="7:22" x14ac:dyDescent="0.2">
      <c r="G1947" s="79"/>
      <c r="J1947" s="79"/>
      <c r="M1947" s="104"/>
      <c r="P1947" s="79"/>
      <c r="S1947" s="79"/>
      <c r="V1947" s="79"/>
    </row>
    <row r="1948" spans="7:22" x14ac:dyDescent="0.2">
      <c r="G1948" s="79"/>
      <c r="J1948" s="79"/>
      <c r="M1948" s="104"/>
      <c r="P1948" s="79"/>
      <c r="S1948" s="79"/>
      <c r="V1948" s="79"/>
    </row>
    <row r="1949" spans="7:22" x14ac:dyDescent="0.2">
      <c r="G1949" s="79"/>
      <c r="J1949" s="79"/>
      <c r="M1949" s="104"/>
      <c r="P1949" s="79"/>
      <c r="S1949" s="79"/>
      <c r="V1949" s="79"/>
    </row>
    <row r="1950" spans="7:22" x14ac:dyDescent="0.2">
      <c r="G1950" s="79"/>
      <c r="J1950" s="79"/>
      <c r="M1950" s="104"/>
      <c r="P1950" s="79"/>
      <c r="S1950" s="79"/>
      <c r="V1950" s="79"/>
    </row>
    <row r="1951" spans="7:22" x14ac:dyDescent="0.2">
      <c r="G1951" s="79"/>
      <c r="J1951" s="79"/>
      <c r="M1951" s="104"/>
      <c r="P1951" s="79"/>
      <c r="S1951" s="79"/>
      <c r="V1951" s="79"/>
    </row>
    <row r="1952" spans="7:22" x14ac:dyDescent="0.2">
      <c r="G1952" s="79"/>
      <c r="J1952" s="79"/>
      <c r="M1952" s="104"/>
      <c r="P1952" s="79"/>
      <c r="S1952" s="79"/>
      <c r="V1952" s="79"/>
    </row>
    <row r="1953" spans="7:22" x14ac:dyDescent="0.2">
      <c r="G1953" s="79"/>
      <c r="J1953" s="79"/>
      <c r="M1953" s="104"/>
      <c r="P1953" s="79"/>
      <c r="S1953" s="79"/>
      <c r="V1953" s="79"/>
    </row>
    <row r="1954" spans="7:22" x14ac:dyDescent="0.2">
      <c r="G1954" s="79"/>
      <c r="J1954" s="79"/>
      <c r="M1954" s="104"/>
      <c r="P1954" s="79"/>
      <c r="S1954" s="79"/>
      <c r="V1954" s="79"/>
    </row>
    <row r="1955" spans="7:22" x14ac:dyDescent="0.2">
      <c r="G1955" s="79"/>
      <c r="J1955" s="79"/>
      <c r="M1955" s="104"/>
      <c r="P1955" s="79"/>
      <c r="S1955" s="79"/>
      <c r="V1955" s="79"/>
    </row>
    <row r="1956" spans="7:22" x14ac:dyDescent="0.2">
      <c r="G1956" s="79"/>
      <c r="J1956" s="79"/>
      <c r="M1956" s="104"/>
      <c r="P1956" s="79"/>
      <c r="S1956" s="79"/>
      <c r="V1956" s="79"/>
    </row>
    <row r="1957" spans="7:22" x14ac:dyDescent="0.2">
      <c r="G1957" s="79"/>
      <c r="J1957" s="79"/>
      <c r="M1957" s="104"/>
      <c r="P1957" s="79"/>
      <c r="S1957" s="79"/>
      <c r="V1957" s="79"/>
    </row>
    <row r="1958" spans="7:22" x14ac:dyDescent="0.2">
      <c r="G1958" s="79"/>
      <c r="J1958" s="79"/>
      <c r="M1958" s="104"/>
      <c r="P1958" s="79"/>
      <c r="S1958" s="79"/>
      <c r="V1958" s="79"/>
    </row>
    <row r="1959" spans="7:22" x14ac:dyDescent="0.2">
      <c r="G1959" s="79"/>
      <c r="J1959" s="79"/>
      <c r="M1959" s="104"/>
      <c r="P1959" s="79"/>
      <c r="S1959" s="79"/>
      <c r="V1959" s="79"/>
    </row>
    <row r="1960" spans="7:22" x14ac:dyDescent="0.2">
      <c r="G1960" s="79"/>
      <c r="J1960" s="79"/>
      <c r="M1960" s="104"/>
      <c r="P1960" s="79"/>
      <c r="S1960" s="79"/>
      <c r="V1960" s="79"/>
    </row>
    <row r="1961" spans="7:22" x14ac:dyDescent="0.2">
      <c r="G1961" s="79"/>
      <c r="J1961" s="79"/>
      <c r="M1961" s="104"/>
      <c r="P1961" s="79"/>
      <c r="S1961" s="79"/>
      <c r="V1961" s="79"/>
    </row>
    <row r="1962" spans="7:22" x14ac:dyDescent="0.2">
      <c r="G1962" s="79"/>
      <c r="J1962" s="79"/>
      <c r="M1962" s="104"/>
      <c r="P1962" s="79"/>
      <c r="S1962" s="79"/>
      <c r="V1962" s="79"/>
    </row>
    <row r="1963" spans="7:22" x14ac:dyDescent="0.2">
      <c r="G1963" s="79"/>
      <c r="J1963" s="79"/>
      <c r="M1963" s="104"/>
      <c r="P1963" s="79"/>
      <c r="S1963" s="79"/>
      <c r="V1963" s="79"/>
    </row>
    <row r="1964" spans="7:22" x14ac:dyDescent="0.2">
      <c r="G1964" s="79"/>
      <c r="J1964" s="79"/>
      <c r="M1964" s="104"/>
      <c r="P1964" s="79"/>
      <c r="S1964" s="79"/>
      <c r="V1964" s="79"/>
    </row>
    <row r="1965" spans="7:22" x14ac:dyDescent="0.2">
      <c r="G1965" s="79"/>
      <c r="J1965" s="79"/>
      <c r="M1965" s="104"/>
      <c r="P1965" s="79"/>
      <c r="S1965" s="79"/>
      <c r="V1965" s="79"/>
    </row>
    <row r="1966" spans="7:22" x14ac:dyDescent="0.2">
      <c r="G1966" s="79"/>
      <c r="J1966" s="79"/>
      <c r="M1966" s="104"/>
      <c r="P1966" s="79"/>
      <c r="S1966" s="79"/>
      <c r="V1966" s="79"/>
    </row>
    <row r="1967" spans="7:22" x14ac:dyDescent="0.2">
      <c r="G1967" s="79"/>
      <c r="J1967" s="79"/>
      <c r="M1967" s="104"/>
      <c r="P1967" s="79"/>
      <c r="S1967" s="79"/>
      <c r="V1967" s="79"/>
    </row>
    <row r="1968" spans="7:22" x14ac:dyDescent="0.2">
      <c r="G1968" s="79"/>
      <c r="J1968" s="79"/>
      <c r="M1968" s="104"/>
      <c r="P1968" s="79"/>
      <c r="S1968" s="79"/>
      <c r="V1968" s="79"/>
    </row>
    <row r="1969" spans="7:22" x14ac:dyDescent="0.2">
      <c r="G1969" s="79"/>
      <c r="J1969" s="79"/>
      <c r="M1969" s="104"/>
      <c r="P1969" s="79"/>
      <c r="S1969" s="79"/>
      <c r="V1969" s="79"/>
    </row>
    <row r="1970" spans="7:22" x14ac:dyDescent="0.2">
      <c r="G1970" s="79"/>
      <c r="J1970" s="79"/>
      <c r="M1970" s="104"/>
      <c r="P1970" s="79"/>
      <c r="S1970" s="79"/>
      <c r="V1970" s="79"/>
    </row>
    <row r="1971" spans="7:22" x14ac:dyDescent="0.2">
      <c r="G1971" s="79"/>
      <c r="J1971" s="79"/>
      <c r="M1971" s="104"/>
      <c r="P1971" s="79"/>
      <c r="S1971" s="79"/>
      <c r="V1971" s="79"/>
    </row>
    <row r="1972" spans="7:22" x14ac:dyDescent="0.2">
      <c r="G1972" s="79"/>
      <c r="J1972" s="79"/>
      <c r="M1972" s="104"/>
      <c r="P1972" s="79"/>
      <c r="S1972" s="79"/>
      <c r="V1972" s="79"/>
    </row>
    <row r="1973" spans="7:22" x14ac:dyDescent="0.2">
      <c r="G1973" s="79"/>
      <c r="J1973" s="79"/>
      <c r="M1973" s="104"/>
      <c r="P1973" s="79"/>
      <c r="S1973" s="79"/>
      <c r="V1973" s="79"/>
    </row>
    <row r="1974" spans="7:22" x14ac:dyDescent="0.2">
      <c r="G1974" s="79"/>
      <c r="J1974" s="79"/>
      <c r="M1974" s="104"/>
      <c r="P1974" s="79"/>
      <c r="S1974" s="79"/>
      <c r="V1974" s="79"/>
    </row>
    <row r="1975" spans="7:22" x14ac:dyDescent="0.2">
      <c r="G1975" s="79"/>
      <c r="J1975" s="79"/>
      <c r="M1975" s="104"/>
      <c r="P1975" s="79"/>
      <c r="S1975" s="79"/>
      <c r="V1975" s="79"/>
    </row>
    <row r="1976" spans="7:22" x14ac:dyDescent="0.2">
      <c r="G1976" s="79"/>
      <c r="J1976" s="79"/>
      <c r="M1976" s="104"/>
      <c r="P1976" s="79"/>
      <c r="S1976" s="79"/>
      <c r="V1976" s="79"/>
    </row>
    <row r="1977" spans="7:22" x14ac:dyDescent="0.2">
      <c r="G1977" s="79"/>
      <c r="J1977" s="79"/>
      <c r="M1977" s="104"/>
      <c r="P1977" s="79"/>
      <c r="S1977" s="79"/>
      <c r="V1977" s="79"/>
    </row>
    <row r="1978" spans="7:22" x14ac:dyDescent="0.2">
      <c r="G1978" s="79"/>
      <c r="J1978" s="79"/>
      <c r="M1978" s="104"/>
      <c r="P1978" s="79"/>
      <c r="S1978" s="79"/>
      <c r="V1978" s="79"/>
    </row>
    <row r="1979" spans="7:22" x14ac:dyDescent="0.2">
      <c r="G1979" s="79"/>
      <c r="J1979" s="79"/>
      <c r="M1979" s="104"/>
      <c r="P1979" s="79"/>
      <c r="S1979" s="79"/>
      <c r="V1979" s="79"/>
    </row>
    <row r="1980" spans="7:22" x14ac:dyDescent="0.2">
      <c r="G1980" s="79"/>
      <c r="J1980" s="79"/>
      <c r="M1980" s="104"/>
      <c r="P1980" s="79"/>
      <c r="S1980" s="79"/>
      <c r="V1980" s="79"/>
    </row>
    <row r="1981" spans="7:22" x14ac:dyDescent="0.2">
      <c r="G1981" s="79"/>
      <c r="J1981" s="79"/>
      <c r="M1981" s="104"/>
      <c r="P1981" s="79"/>
      <c r="S1981" s="79"/>
      <c r="V1981" s="79"/>
    </row>
    <row r="1982" spans="7:22" x14ac:dyDescent="0.2">
      <c r="G1982" s="79"/>
      <c r="J1982" s="79"/>
      <c r="M1982" s="104"/>
      <c r="P1982" s="79"/>
      <c r="S1982" s="79"/>
      <c r="V1982" s="79"/>
    </row>
    <row r="1983" spans="7:22" x14ac:dyDescent="0.2">
      <c r="G1983" s="79"/>
      <c r="J1983" s="79"/>
      <c r="M1983" s="104"/>
      <c r="P1983" s="79"/>
      <c r="S1983" s="79"/>
      <c r="V1983" s="79"/>
    </row>
    <row r="1984" spans="7:22" x14ac:dyDescent="0.2">
      <c r="G1984" s="79"/>
      <c r="J1984" s="79"/>
      <c r="M1984" s="104"/>
      <c r="P1984" s="79"/>
      <c r="S1984" s="79"/>
      <c r="V1984" s="79"/>
    </row>
    <row r="1985" spans="7:22" x14ac:dyDescent="0.2">
      <c r="G1985" s="79"/>
      <c r="J1985" s="79"/>
      <c r="M1985" s="104"/>
      <c r="P1985" s="79"/>
      <c r="S1985" s="79"/>
      <c r="V1985" s="79"/>
    </row>
    <row r="1986" spans="7:22" x14ac:dyDescent="0.2">
      <c r="G1986" s="79"/>
      <c r="J1986" s="79"/>
      <c r="M1986" s="104"/>
      <c r="P1986" s="79"/>
      <c r="S1986" s="79"/>
      <c r="V1986" s="79"/>
    </row>
    <row r="1987" spans="7:22" x14ac:dyDescent="0.2">
      <c r="G1987" s="79"/>
      <c r="J1987" s="79"/>
      <c r="M1987" s="104"/>
      <c r="P1987" s="79"/>
      <c r="S1987" s="79"/>
      <c r="V1987" s="79"/>
    </row>
    <row r="1988" spans="7:22" x14ac:dyDescent="0.2">
      <c r="G1988" s="79"/>
      <c r="J1988" s="79"/>
      <c r="M1988" s="104"/>
      <c r="P1988" s="79"/>
      <c r="S1988" s="79"/>
      <c r="V1988" s="79"/>
    </row>
    <row r="1989" spans="7:22" x14ac:dyDescent="0.2">
      <c r="G1989" s="79"/>
      <c r="J1989" s="79"/>
      <c r="M1989" s="104"/>
      <c r="P1989" s="79"/>
      <c r="S1989" s="79"/>
      <c r="V1989" s="79"/>
    </row>
    <row r="1990" spans="7:22" x14ac:dyDescent="0.2">
      <c r="G1990" s="79"/>
      <c r="J1990" s="79"/>
      <c r="M1990" s="104"/>
      <c r="P1990" s="79"/>
      <c r="S1990" s="79"/>
      <c r="V1990" s="79"/>
    </row>
    <row r="1991" spans="7:22" x14ac:dyDescent="0.2">
      <c r="G1991" s="79"/>
      <c r="J1991" s="79"/>
      <c r="M1991" s="104"/>
      <c r="P1991" s="79"/>
      <c r="S1991" s="79"/>
      <c r="V1991" s="79"/>
    </row>
    <row r="1992" spans="7:22" x14ac:dyDescent="0.2">
      <c r="G1992" s="79"/>
      <c r="J1992" s="79"/>
      <c r="M1992" s="104"/>
      <c r="P1992" s="79"/>
      <c r="S1992" s="79"/>
      <c r="V1992" s="79"/>
    </row>
    <row r="1993" spans="7:22" x14ac:dyDescent="0.2">
      <c r="G1993" s="79"/>
      <c r="J1993" s="79"/>
      <c r="M1993" s="104"/>
      <c r="P1993" s="79"/>
      <c r="S1993" s="79"/>
      <c r="V1993" s="79"/>
    </row>
    <row r="1994" spans="7:22" x14ac:dyDescent="0.2">
      <c r="G1994" s="79"/>
      <c r="J1994" s="79"/>
      <c r="M1994" s="104"/>
      <c r="P1994" s="79"/>
      <c r="S1994" s="79"/>
      <c r="V1994" s="79"/>
    </row>
    <row r="1995" spans="7:22" x14ac:dyDescent="0.2">
      <c r="G1995" s="79"/>
      <c r="J1995" s="79"/>
      <c r="M1995" s="104"/>
      <c r="P1995" s="79"/>
      <c r="S1995" s="79"/>
      <c r="V1995" s="79"/>
    </row>
    <row r="1996" spans="7:22" x14ac:dyDescent="0.2">
      <c r="G1996" s="79"/>
      <c r="J1996" s="79"/>
      <c r="M1996" s="104"/>
      <c r="P1996" s="79"/>
      <c r="S1996" s="79"/>
      <c r="V1996" s="79"/>
    </row>
    <row r="1997" spans="7:22" x14ac:dyDescent="0.2">
      <c r="G1997" s="79"/>
      <c r="J1997" s="79"/>
      <c r="M1997" s="104"/>
      <c r="P1997" s="79"/>
      <c r="S1997" s="79"/>
      <c r="V1997" s="79"/>
    </row>
    <row r="1998" spans="7:22" x14ac:dyDescent="0.2">
      <c r="G1998" s="79"/>
      <c r="J1998" s="79"/>
      <c r="M1998" s="104"/>
      <c r="P1998" s="79"/>
      <c r="S1998" s="79"/>
      <c r="V1998" s="79"/>
    </row>
    <row r="1999" spans="7:22" x14ac:dyDescent="0.2">
      <c r="G1999" s="79"/>
      <c r="J1999" s="79"/>
      <c r="M1999" s="104"/>
      <c r="P1999" s="79"/>
      <c r="S1999" s="79"/>
      <c r="V1999" s="79"/>
    </row>
    <row r="2000" spans="7:22" x14ac:dyDescent="0.2">
      <c r="G2000" s="79"/>
      <c r="J2000" s="79"/>
      <c r="M2000" s="104"/>
      <c r="P2000" s="79"/>
      <c r="S2000" s="79"/>
      <c r="V2000" s="79"/>
    </row>
    <row r="2001" spans="7:22" x14ac:dyDescent="0.2">
      <c r="G2001" s="79"/>
      <c r="J2001" s="79"/>
      <c r="M2001" s="104"/>
      <c r="P2001" s="79"/>
      <c r="S2001" s="79"/>
      <c r="V2001" s="79"/>
    </row>
    <row r="2002" spans="7:22" x14ac:dyDescent="0.2">
      <c r="G2002" s="79"/>
      <c r="J2002" s="79"/>
      <c r="M2002" s="104"/>
      <c r="P2002" s="79"/>
      <c r="S2002" s="79"/>
      <c r="V2002" s="79"/>
    </row>
    <row r="2003" spans="7:22" x14ac:dyDescent="0.2">
      <c r="G2003" s="79"/>
      <c r="J2003" s="79"/>
      <c r="M2003" s="104"/>
      <c r="P2003" s="79"/>
      <c r="S2003" s="79"/>
      <c r="V2003" s="79"/>
    </row>
    <row r="2004" spans="7:22" x14ac:dyDescent="0.2">
      <c r="G2004" s="79"/>
      <c r="J2004" s="79"/>
      <c r="M2004" s="104"/>
      <c r="P2004" s="79"/>
      <c r="S2004" s="79"/>
      <c r="V2004" s="79"/>
    </row>
    <row r="2005" spans="7:22" x14ac:dyDescent="0.2">
      <c r="G2005" s="79"/>
      <c r="J2005" s="79"/>
      <c r="M2005" s="104"/>
      <c r="P2005" s="79"/>
      <c r="S2005" s="79"/>
      <c r="V2005" s="79"/>
    </row>
    <row r="2006" spans="7:22" x14ac:dyDescent="0.2">
      <c r="G2006" s="79"/>
      <c r="J2006" s="79"/>
      <c r="M2006" s="104"/>
      <c r="P2006" s="79"/>
      <c r="S2006" s="79"/>
      <c r="V2006" s="79"/>
    </row>
    <row r="2007" spans="7:22" x14ac:dyDescent="0.2">
      <c r="G2007" s="79"/>
      <c r="J2007" s="79"/>
      <c r="M2007" s="104"/>
      <c r="P2007" s="79"/>
      <c r="S2007" s="79"/>
      <c r="V2007" s="79"/>
    </row>
    <row r="2008" spans="7:22" x14ac:dyDescent="0.2">
      <c r="G2008" s="79"/>
      <c r="J2008" s="79"/>
      <c r="M2008" s="104"/>
      <c r="P2008" s="79"/>
      <c r="S2008" s="79"/>
      <c r="V2008" s="79"/>
    </row>
    <row r="2009" spans="7:22" x14ac:dyDescent="0.2">
      <c r="G2009" s="79"/>
      <c r="J2009" s="79"/>
      <c r="M2009" s="104"/>
      <c r="P2009" s="79"/>
      <c r="S2009" s="79"/>
      <c r="V2009" s="79"/>
    </row>
    <row r="2010" spans="7:22" x14ac:dyDescent="0.2">
      <c r="G2010" s="79"/>
      <c r="J2010" s="79"/>
      <c r="M2010" s="104"/>
      <c r="P2010" s="79"/>
      <c r="S2010" s="79"/>
      <c r="V2010" s="79"/>
    </row>
    <row r="2011" spans="7:22" x14ac:dyDescent="0.2">
      <c r="G2011" s="79"/>
      <c r="J2011" s="79"/>
      <c r="M2011" s="104"/>
      <c r="P2011" s="79"/>
      <c r="S2011" s="79"/>
      <c r="V2011" s="79"/>
    </row>
    <row r="2012" spans="7:22" x14ac:dyDescent="0.2">
      <c r="G2012" s="79"/>
      <c r="J2012" s="79"/>
      <c r="M2012" s="104"/>
      <c r="P2012" s="79"/>
      <c r="S2012" s="79"/>
      <c r="V2012" s="79"/>
    </row>
    <row r="2013" spans="7:22" x14ac:dyDescent="0.2">
      <c r="G2013" s="79"/>
      <c r="J2013" s="79"/>
      <c r="M2013" s="104"/>
      <c r="P2013" s="79"/>
      <c r="S2013" s="79"/>
      <c r="V2013" s="79"/>
    </row>
    <row r="2014" spans="7:22" x14ac:dyDescent="0.2">
      <c r="G2014" s="79"/>
      <c r="J2014" s="79"/>
      <c r="M2014" s="104"/>
      <c r="P2014" s="79"/>
      <c r="S2014" s="79"/>
      <c r="V2014" s="79"/>
    </row>
    <row r="2015" spans="7:22" x14ac:dyDescent="0.2">
      <c r="G2015" s="79"/>
      <c r="J2015" s="79"/>
      <c r="M2015" s="104"/>
      <c r="P2015" s="79"/>
      <c r="S2015" s="79"/>
      <c r="V2015" s="79"/>
    </row>
    <row r="2016" spans="7:22" x14ac:dyDescent="0.2">
      <c r="G2016" s="79"/>
      <c r="J2016" s="79"/>
      <c r="M2016" s="104"/>
      <c r="P2016" s="79"/>
      <c r="S2016" s="79"/>
      <c r="V2016" s="79"/>
    </row>
    <row r="2017" spans="7:22" x14ac:dyDescent="0.2">
      <c r="G2017" s="79"/>
      <c r="J2017" s="79"/>
      <c r="M2017" s="104"/>
      <c r="P2017" s="79"/>
      <c r="S2017" s="79"/>
      <c r="V2017" s="79"/>
    </row>
    <row r="2018" spans="7:22" x14ac:dyDescent="0.2">
      <c r="G2018" s="79"/>
      <c r="J2018" s="79"/>
      <c r="M2018" s="104"/>
      <c r="P2018" s="79"/>
      <c r="S2018" s="79"/>
      <c r="V2018" s="79"/>
    </row>
    <row r="2019" spans="7:22" x14ac:dyDescent="0.2">
      <c r="G2019" s="79"/>
      <c r="J2019" s="79"/>
      <c r="M2019" s="104"/>
      <c r="P2019" s="79"/>
      <c r="S2019" s="79"/>
      <c r="V2019" s="79"/>
    </row>
    <row r="2020" spans="7:22" x14ac:dyDescent="0.2">
      <c r="G2020" s="79"/>
      <c r="J2020" s="79"/>
      <c r="M2020" s="104"/>
      <c r="P2020" s="79"/>
      <c r="S2020" s="79"/>
      <c r="V2020" s="79"/>
    </row>
    <row r="2021" spans="7:22" x14ac:dyDescent="0.2">
      <c r="G2021" s="79"/>
      <c r="J2021" s="79"/>
      <c r="M2021" s="104"/>
      <c r="P2021" s="79"/>
      <c r="S2021" s="79"/>
      <c r="V2021" s="79"/>
    </row>
    <row r="2022" spans="7:22" x14ac:dyDescent="0.2">
      <c r="G2022" s="79"/>
      <c r="J2022" s="79"/>
      <c r="M2022" s="104"/>
      <c r="P2022" s="79"/>
      <c r="S2022" s="79"/>
      <c r="V2022" s="79"/>
    </row>
    <row r="2023" spans="7:22" x14ac:dyDescent="0.2">
      <c r="G2023" s="79"/>
      <c r="J2023" s="79"/>
      <c r="M2023" s="104"/>
      <c r="P2023" s="79"/>
      <c r="S2023" s="79"/>
      <c r="V2023" s="79"/>
    </row>
    <row r="2024" spans="7:22" x14ac:dyDescent="0.2">
      <c r="G2024" s="79"/>
      <c r="J2024" s="79"/>
      <c r="M2024" s="104"/>
      <c r="P2024" s="79"/>
      <c r="S2024" s="79"/>
      <c r="V2024" s="79"/>
    </row>
    <row r="2025" spans="7:22" x14ac:dyDescent="0.2">
      <c r="G2025" s="79"/>
      <c r="J2025" s="79"/>
      <c r="M2025" s="104"/>
      <c r="P2025" s="79"/>
      <c r="S2025" s="79"/>
      <c r="V2025" s="79"/>
    </row>
    <row r="2026" spans="7:22" x14ac:dyDescent="0.2">
      <c r="G2026" s="79"/>
      <c r="J2026" s="79"/>
      <c r="M2026" s="104"/>
      <c r="P2026" s="79"/>
      <c r="S2026" s="79"/>
      <c r="V2026" s="79"/>
    </row>
    <row r="2027" spans="7:22" x14ac:dyDescent="0.2">
      <c r="G2027" s="79"/>
      <c r="J2027" s="79"/>
      <c r="M2027" s="104"/>
      <c r="P2027" s="79"/>
      <c r="S2027" s="79"/>
      <c r="V2027" s="79"/>
    </row>
    <row r="2028" spans="7:22" x14ac:dyDescent="0.2">
      <c r="G2028" s="79"/>
      <c r="J2028" s="79"/>
      <c r="M2028" s="104"/>
      <c r="P2028" s="79"/>
      <c r="S2028" s="79"/>
      <c r="V2028" s="79"/>
    </row>
    <row r="2029" spans="7:22" x14ac:dyDescent="0.2">
      <c r="G2029" s="79"/>
      <c r="J2029" s="79"/>
      <c r="M2029" s="104"/>
      <c r="P2029" s="79"/>
      <c r="S2029" s="79"/>
      <c r="V2029" s="79"/>
    </row>
    <row r="2030" spans="7:22" x14ac:dyDescent="0.2">
      <c r="G2030" s="79"/>
      <c r="J2030" s="79"/>
      <c r="M2030" s="104"/>
      <c r="P2030" s="79"/>
      <c r="S2030" s="79"/>
      <c r="V2030" s="79"/>
    </row>
    <row r="2031" spans="7:22" x14ac:dyDescent="0.2">
      <c r="G2031" s="79"/>
      <c r="J2031" s="79"/>
      <c r="M2031" s="104"/>
      <c r="P2031" s="79"/>
      <c r="S2031" s="79"/>
      <c r="V2031" s="79"/>
    </row>
    <row r="2032" spans="7:22" x14ac:dyDescent="0.2">
      <c r="G2032" s="79"/>
      <c r="J2032" s="79"/>
      <c r="M2032" s="104"/>
      <c r="P2032" s="79"/>
      <c r="S2032" s="79"/>
      <c r="V2032" s="79"/>
    </row>
    <row r="2033" spans="7:22" x14ac:dyDescent="0.2">
      <c r="G2033" s="79"/>
      <c r="J2033" s="79"/>
      <c r="M2033" s="104"/>
      <c r="P2033" s="79"/>
      <c r="S2033" s="79"/>
      <c r="V2033" s="79"/>
    </row>
    <row r="2034" spans="7:22" x14ac:dyDescent="0.2">
      <c r="G2034" s="79"/>
      <c r="J2034" s="79"/>
      <c r="M2034" s="104"/>
      <c r="P2034" s="79"/>
      <c r="S2034" s="79"/>
      <c r="V2034" s="79"/>
    </row>
    <row r="2035" spans="7:22" x14ac:dyDescent="0.2">
      <c r="G2035" s="79"/>
      <c r="J2035" s="79"/>
      <c r="M2035" s="104"/>
      <c r="P2035" s="79"/>
      <c r="S2035" s="79"/>
      <c r="V2035" s="79"/>
    </row>
    <row r="2036" spans="7:22" x14ac:dyDescent="0.2">
      <c r="G2036" s="79"/>
      <c r="J2036" s="79"/>
      <c r="M2036" s="104"/>
      <c r="P2036" s="79"/>
      <c r="S2036" s="79"/>
      <c r="V2036" s="79"/>
    </row>
    <row r="2037" spans="7:22" x14ac:dyDescent="0.2">
      <c r="G2037" s="79"/>
      <c r="J2037" s="79"/>
      <c r="M2037" s="104"/>
      <c r="P2037" s="79"/>
      <c r="S2037" s="79"/>
      <c r="V2037" s="79"/>
    </row>
    <row r="2038" spans="7:22" x14ac:dyDescent="0.2">
      <c r="G2038" s="79"/>
      <c r="J2038" s="79"/>
      <c r="M2038" s="104"/>
      <c r="P2038" s="79"/>
      <c r="S2038" s="79"/>
      <c r="V2038" s="79"/>
    </row>
    <row r="2039" spans="7:22" x14ac:dyDescent="0.2">
      <c r="G2039" s="79"/>
      <c r="J2039" s="79"/>
      <c r="M2039" s="104"/>
      <c r="P2039" s="79"/>
      <c r="S2039" s="79"/>
      <c r="V2039" s="79"/>
    </row>
    <row r="2040" spans="7:22" x14ac:dyDescent="0.2">
      <c r="G2040" s="79"/>
      <c r="J2040" s="79"/>
      <c r="M2040" s="104"/>
      <c r="P2040" s="79"/>
      <c r="S2040" s="79"/>
      <c r="V2040" s="79"/>
    </row>
    <row r="2041" spans="7:22" x14ac:dyDescent="0.2">
      <c r="G2041" s="79"/>
      <c r="J2041" s="79"/>
      <c r="M2041" s="104"/>
      <c r="P2041" s="79"/>
      <c r="S2041" s="79"/>
      <c r="V2041" s="79"/>
    </row>
    <row r="2042" spans="7:22" x14ac:dyDescent="0.2">
      <c r="G2042" s="79"/>
      <c r="J2042" s="79"/>
      <c r="M2042" s="104"/>
      <c r="P2042" s="79"/>
      <c r="S2042" s="79"/>
      <c r="V2042" s="79"/>
    </row>
    <row r="2043" spans="7:22" x14ac:dyDescent="0.2">
      <c r="G2043" s="79"/>
      <c r="J2043" s="79"/>
      <c r="M2043" s="104"/>
      <c r="P2043" s="79"/>
      <c r="S2043" s="79"/>
      <c r="V2043" s="79"/>
    </row>
    <row r="2044" spans="7:22" x14ac:dyDescent="0.2">
      <c r="G2044" s="79"/>
      <c r="J2044" s="79"/>
      <c r="M2044" s="104"/>
      <c r="P2044" s="79"/>
      <c r="S2044" s="79"/>
      <c r="V2044" s="79"/>
    </row>
    <row r="2045" spans="7:22" x14ac:dyDescent="0.2">
      <c r="G2045" s="79"/>
      <c r="J2045" s="79"/>
      <c r="M2045" s="104"/>
      <c r="P2045" s="79"/>
      <c r="S2045" s="79"/>
      <c r="V2045" s="79"/>
    </row>
    <row r="2046" spans="7:22" x14ac:dyDescent="0.2">
      <c r="G2046" s="79"/>
      <c r="J2046" s="79"/>
      <c r="M2046" s="104"/>
      <c r="P2046" s="79"/>
      <c r="S2046" s="79"/>
      <c r="V2046" s="79"/>
    </row>
    <row r="2047" spans="7:22" x14ac:dyDescent="0.2">
      <c r="G2047" s="79"/>
      <c r="J2047" s="79"/>
      <c r="M2047" s="104"/>
      <c r="P2047" s="79"/>
      <c r="S2047" s="79"/>
      <c r="V2047" s="79"/>
    </row>
    <row r="2048" spans="7:22" x14ac:dyDescent="0.2">
      <c r="G2048" s="79"/>
      <c r="J2048" s="79"/>
      <c r="M2048" s="104"/>
      <c r="P2048" s="79"/>
      <c r="S2048" s="79"/>
      <c r="V2048" s="79"/>
    </row>
    <row r="2049" spans="7:22" x14ac:dyDescent="0.2">
      <c r="G2049" s="79"/>
      <c r="J2049" s="79"/>
      <c r="M2049" s="104"/>
      <c r="P2049" s="79"/>
      <c r="S2049" s="79"/>
      <c r="V2049" s="79"/>
    </row>
    <row r="2050" spans="7:22" x14ac:dyDescent="0.2">
      <c r="G2050" s="79"/>
      <c r="J2050" s="79"/>
      <c r="M2050" s="104"/>
      <c r="P2050" s="79"/>
      <c r="S2050" s="79"/>
      <c r="V2050" s="79"/>
    </row>
    <row r="2051" spans="7:22" x14ac:dyDescent="0.2">
      <c r="G2051" s="79"/>
      <c r="J2051" s="79"/>
      <c r="M2051" s="104"/>
      <c r="P2051" s="79"/>
      <c r="S2051" s="79"/>
      <c r="V2051" s="79"/>
    </row>
    <row r="2052" spans="7:22" x14ac:dyDescent="0.2">
      <c r="G2052" s="79"/>
      <c r="J2052" s="79"/>
      <c r="M2052" s="104"/>
      <c r="P2052" s="79"/>
      <c r="S2052" s="79"/>
      <c r="V2052" s="79"/>
    </row>
    <row r="2053" spans="7:22" x14ac:dyDescent="0.2">
      <c r="G2053" s="79"/>
      <c r="J2053" s="79"/>
      <c r="M2053" s="104"/>
      <c r="P2053" s="79"/>
      <c r="S2053" s="79"/>
      <c r="V2053" s="79"/>
    </row>
    <row r="2054" spans="7:22" x14ac:dyDescent="0.2">
      <c r="G2054" s="79"/>
      <c r="J2054" s="79"/>
      <c r="M2054" s="104"/>
      <c r="P2054" s="79"/>
      <c r="S2054" s="79"/>
      <c r="V2054" s="79"/>
    </row>
    <row r="2055" spans="7:22" x14ac:dyDescent="0.2">
      <c r="G2055" s="79"/>
      <c r="J2055" s="79"/>
      <c r="M2055" s="104"/>
      <c r="P2055" s="79"/>
      <c r="S2055" s="79"/>
      <c r="V2055" s="79"/>
    </row>
    <row r="2056" spans="7:22" x14ac:dyDescent="0.2">
      <c r="G2056" s="79"/>
      <c r="J2056" s="79"/>
      <c r="M2056" s="104"/>
      <c r="P2056" s="79"/>
      <c r="S2056" s="79"/>
      <c r="V2056" s="79"/>
    </row>
    <row r="2057" spans="7:22" x14ac:dyDescent="0.2">
      <c r="G2057" s="79"/>
      <c r="J2057" s="79"/>
      <c r="M2057" s="104"/>
      <c r="P2057" s="79"/>
      <c r="S2057" s="79"/>
      <c r="V2057" s="79"/>
    </row>
    <row r="2058" spans="7:22" x14ac:dyDescent="0.2">
      <c r="G2058" s="79"/>
      <c r="J2058" s="79"/>
      <c r="M2058" s="104"/>
      <c r="P2058" s="79"/>
      <c r="S2058" s="79"/>
      <c r="V2058" s="79"/>
    </row>
    <row r="2059" spans="7:22" x14ac:dyDescent="0.2">
      <c r="G2059" s="79"/>
      <c r="J2059" s="79"/>
      <c r="M2059" s="104"/>
      <c r="P2059" s="79"/>
      <c r="S2059" s="79"/>
      <c r="V2059" s="79"/>
    </row>
    <row r="2060" spans="7:22" x14ac:dyDescent="0.2">
      <c r="G2060" s="79"/>
      <c r="J2060" s="79"/>
      <c r="M2060" s="104"/>
      <c r="P2060" s="79"/>
      <c r="S2060" s="79"/>
      <c r="V2060" s="79"/>
    </row>
    <row r="2061" spans="7:22" x14ac:dyDescent="0.2">
      <c r="G2061" s="79"/>
      <c r="J2061" s="79"/>
      <c r="M2061" s="104"/>
      <c r="P2061" s="79"/>
      <c r="S2061" s="79"/>
      <c r="V2061" s="79"/>
    </row>
    <row r="2062" spans="7:22" x14ac:dyDescent="0.2">
      <c r="G2062" s="79"/>
      <c r="J2062" s="79"/>
      <c r="M2062" s="104"/>
      <c r="P2062" s="79"/>
      <c r="S2062" s="79"/>
      <c r="V2062" s="79"/>
    </row>
    <row r="2063" spans="7:22" x14ac:dyDescent="0.2">
      <c r="G2063" s="79"/>
      <c r="J2063" s="79"/>
      <c r="M2063" s="104"/>
      <c r="P2063" s="79"/>
      <c r="S2063" s="79"/>
      <c r="V2063" s="79"/>
    </row>
    <row r="2064" spans="7:22" x14ac:dyDescent="0.2">
      <c r="G2064" s="79"/>
      <c r="J2064" s="79"/>
      <c r="M2064" s="104"/>
      <c r="P2064" s="79"/>
      <c r="S2064" s="79"/>
      <c r="V2064" s="79"/>
    </row>
    <row r="2065" spans="7:22" x14ac:dyDescent="0.2">
      <c r="G2065" s="79"/>
      <c r="J2065" s="79"/>
      <c r="M2065" s="104"/>
      <c r="P2065" s="79"/>
      <c r="S2065" s="79"/>
      <c r="V2065" s="79"/>
    </row>
    <row r="2066" spans="7:22" x14ac:dyDescent="0.2">
      <c r="G2066" s="79"/>
      <c r="J2066" s="79"/>
      <c r="M2066" s="104"/>
      <c r="P2066" s="79"/>
      <c r="S2066" s="79"/>
      <c r="V2066" s="79"/>
    </row>
    <row r="2067" spans="7:22" x14ac:dyDescent="0.2">
      <c r="G2067" s="79"/>
      <c r="J2067" s="79"/>
      <c r="M2067" s="104"/>
      <c r="P2067" s="79"/>
      <c r="S2067" s="79"/>
      <c r="V2067" s="79"/>
    </row>
    <row r="2068" spans="7:22" x14ac:dyDescent="0.2">
      <c r="G2068" s="79"/>
      <c r="J2068" s="79"/>
      <c r="M2068" s="104"/>
      <c r="P2068" s="79"/>
      <c r="S2068" s="79"/>
      <c r="V2068" s="79"/>
    </row>
    <row r="2069" spans="7:22" x14ac:dyDescent="0.2">
      <c r="G2069" s="79"/>
      <c r="J2069" s="79"/>
      <c r="M2069" s="104"/>
      <c r="P2069" s="79"/>
      <c r="S2069" s="79"/>
      <c r="V2069" s="79"/>
    </row>
    <row r="2070" spans="7:22" x14ac:dyDescent="0.2">
      <c r="G2070" s="79"/>
      <c r="J2070" s="79"/>
      <c r="M2070" s="104"/>
      <c r="P2070" s="79"/>
      <c r="S2070" s="79"/>
      <c r="V2070" s="79"/>
    </row>
    <row r="2071" spans="7:22" x14ac:dyDescent="0.2">
      <c r="G2071" s="79"/>
      <c r="J2071" s="79"/>
      <c r="M2071" s="104"/>
      <c r="P2071" s="79"/>
      <c r="S2071" s="79"/>
      <c r="V2071" s="79"/>
    </row>
    <row r="2072" spans="7:22" x14ac:dyDescent="0.2">
      <c r="G2072" s="79"/>
      <c r="J2072" s="79"/>
      <c r="M2072" s="104"/>
      <c r="P2072" s="79"/>
      <c r="S2072" s="79"/>
      <c r="V2072" s="79"/>
    </row>
    <row r="2073" spans="7:22" x14ac:dyDescent="0.2">
      <c r="G2073" s="79"/>
      <c r="J2073" s="79"/>
      <c r="M2073" s="104"/>
      <c r="P2073" s="79"/>
      <c r="S2073" s="79"/>
      <c r="V2073" s="79"/>
    </row>
    <row r="2074" spans="7:22" x14ac:dyDescent="0.2">
      <c r="G2074" s="79"/>
      <c r="J2074" s="79"/>
      <c r="M2074" s="104"/>
      <c r="P2074" s="79"/>
      <c r="S2074" s="79"/>
      <c r="V2074" s="79"/>
    </row>
    <row r="2075" spans="7:22" x14ac:dyDescent="0.2">
      <c r="G2075" s="79"/>
      <c r="J2075" s="79"/>
      <c r="M2075" s="104"/>
      <c r="P2075" s="79"/>
      <c r="S2075" s="79"/>
      <c r="V2075" s="79"/>
    </row>
    <row r="2076" spans="7:22" x14ac:dyDescent="0.2">
      <c r="G2076" s="79"/>
      <c r="J2076" s="79"/>
      <c r="M2076" s="104"/>
      <c r="P2076" s="79"/>
      <c r="S2076" s="79"/>
      <c r="V2076" s="79"/>
    </row>
    <row r="2077" spans="7:22" x14ac:dyDescent="0.2">
      <c r="G2077" s="79"/>
      <c r="J2077" s="79"/>
      <c r="M2077" s="104"/>
      <c r="P2077" s="79"/>
      <c r="S2077" s="79"/>
      <c r="V2077" s="79"/>
    </row>
    <row r="2078" spans="7:22" x14ac:dyDescent="0.2">
      <c r="G2078" s="79"/>
      <c r="J2078" s="79"/>
      <c r="M2078" s="104"/>
      <c r="P2078" s="79"/>
      <c r="S2078" s="79"/>
      <c r="V2078" s="79"/>
    </row>
    <row r="2079" spans="7:22" x14ac:dyDescent="0.2">
      <c r="G2079" s="79"/>
      <c r="J2079" s="79"/>
      <c r="M2079" s="104"/>
      <c r="P2079" s="79"/>
      <c r="S2079" s="79"/>
      <c r="V2079" s="79"/>
    </row>
    <row r="2080" spans="7:22" x14ac:dyDescent="0.2">
      <c r="G2080" s="79"/>
      <c r="J2080" s="79"/>
      <c r="M2080" s="104"/>
      <c r="P2080" s="79"/>
      <c r="S2080" s="79"/>
      <c r="V2080" s="79"/>
    </row>
    <row r="2081" spans="7:22" x14ac:dyDescent="0.2">
      <c r="G2081" s="79"/>
      <c r="J2081" s="79"/>
      <c r="M2081" s="104"/>
      <c r="P2081" s="79"/>
      <c r="S2081" s="79"/>
      <c r="V2081" s="79"/>
    </row>
    <row r="2082" spans="7:22" x14ac:dyDescent="0.2">
      <c r="G2082" s="79"/>
      <c r="J2082" s="79"/>
      <c r="M2082" s="104"/>
      <c r="P2082" s="79"/>
      <c r="S2082" s="79"/>
      <c r="V2082" s="79"/>
    </row>
    <row r="2083" spans="7:22" x14ac:dyDescent="0.2">
      <c r="G2083" s="79"/>
      <c r="J2083" s="79"/>
      <c r="M2083" s="104"/>
      <c r="P2083" s="79"/>
      <c r="S2083" s="79"/>
      <c r="V2083" s="79"/>
    </row>
    <row r="2084" spans="7:22" x14ac:dyDescent="0.2">
      <c r="G2084" s="79"/>
      <c r="J2084" s="79"/>
      <c r="M2084" s="104"/>
      <c r="P2084" s="79"/>
      <c r="S2084" s="79"/>
      <c r="V2084" s="79"/>
    </row>
    <row r="2085" spans="7:22" x14ac:dyDescent="0.2">
      <c r="G2085" s="79"/>
      <c r="J2085" s="79"/>
      <c r="M2085" s="104"/>
      <c r="P2085" s="79"/>
      <c r="S2085" s="79"/>
      <c r="V2085" s="79"/>
    </row>
    <row r="2086" spans="7:22" x14ac:dyDescent="0.2">
      <c r="G2086" s="79"/>
      <c r="J2086" s="79"/>
      <c r="M2086" s="104"/>
      <c r="P2086" s="79"/>
      <c r="S2086" s="79"/>
      <c r="V2086" s="79"/>
    </row>
    <row r="2087" spans="7:22" x14ac:dyDescent="0.2">
      <c r="G2087" s="79"/>
      <c r="J2087" s="79"/>
      <c r="M2087" s="104"/>
      <c r="P2087" s="79"/>
      <c r="S2087" s="79"/>
      <c r="V2087" s="79"/>
    </row>
    <row r="2088" spans="7:22" x14ac:dyDescent="0.2">
      <c r="G2088" s="79"/>
      <c r="J2088" s="79"/>
      <c r="M2088" s="104"/>
      <c r="P2088" s="79"/>
      <c r="S2088" s="79"/>
      <c r="V2088" s="79"/>
    </row>
    <row r="2089" spans="7:22" x14ac:dyDescent="0.2">
      <c r="G2089" s="79"/>
      <c r="J2089" s="79"/>
      <c r="M2089" s="104"/>
      <c r="P2089" s="79"/>
      <c r="S2089" s="79"/>
      <c r="V2089" s="79"/>
    </row>
    <row r="2090" spans="7:22" x14ac:dyDescent="0.2">
      <c r="G2090" s="79"/>
      <c r="J2090" s="79"/>
      <c r="M2090" s="104"/>
      <c r="P2090" s="79"/>
      <c r="S2090" s="79"/>
      <c r="V2090" s="79"/>
    </row>
    <row r="2091" spans="7:22" x14ac:dyDescent="0.2">
      <c r="G2091" s="79"/>
      <c r="J2091" s="79"/>
      <c r="M2091" s="104"/>
      <c r="P2091" s="79"/>
      <c r="S2091" s="79"/>
      <c r="V2091" s="79"/>
    </row>
    <row r="2092" spans="7:22" x14ac:dyDescent="0.2">
      <c r="G2092" s="79"/>
      <c r="J2092" s="79"/>
      <c r="M2092" s="104"/>
      <c r="P2092" s="79"/>
      <c r="S2092" s="79"/>
      <c r="V2092" s="79"/>
    </row>
    <row r="2093" spans="7:22" x14ac:dyDescent="0.2">
      <c r="G2093" s="79"/>
      <c r="J2093" s="79"/>
      <c r="M2093" s="104"/>
      <c r="P2093" s="79"/>
      <c r="S2093" s="79"/>
      <c r="V2093" s="79"/>
    </row>
    <row r="2094" spans="7:22" x14ac:dyDescent="0.2">
      <c r="G2094" s="79"/>
      <c r="J2094" s="79"/>
      <c r="M2094" s="104"/>
      <c r="P2094" s="79"/>
      <c r="S2094" s="79"/>
      <c r="V2094" s="79"/>
    </row>
    <row r="2095" spans="7:22" x14ac:dyDescent="0.2">
      <c r="G2095" s="79"/>
      <c r="J2095" s="79"/>
      <c r="M2095" s="104"/>
      <c r="P2095" s="79"/>
      <c r="S2095" s="79"/>
      <c r="V2095" s="79"/>
    </row>
    <row r="2096" spans="7:22" x14ac:dyDescent="0.2">
      <c r="G2096" s="79"/>
      <c r="J2096" s="79"/>
      <c r="M2096" s="104"/>
      <c r="P2096" s="79"/>
      <c r="S2096" s="79"/>
      <c r="V2096" s="79"/>
    </row>
    <row r="2097" spans="7:22" x14ac:dyDescent="0.2">
      <c r="G2097" s="79"/>
      <c r="J2097" s="79"/>
      <c r="M2097" s="104"/>
      <c r="P2097" s="79"/>
      <c r="S2097" s="79"/>
      <c r="V2097" s="79"/>
    </row>
    <row r="2098" spans="7:22" x14ac:dyDescent="0.2">
      <c r="G2098" s="79"/>
      <c r="J2098" s="79"/>
      <c r="M2098" s="104"/>
      <c r="P2098" s="79"/>
      <c r="S2098" s="79"/>
      <c r="V2098" s="79"/>
    </row>
    <row r="2099" spans="7:22" x14ac:dyDescent="0.2">
      <c r="G2099" s="79"/>
      <c r="J2099" s="79"/>
      <c r="M2099" s="104"/>
      <c r="P2099" s="79"/>
      <c r="S2099" s="79"/>
      <c r="V2099" s="79"/>
    </row>
    <row r="2100" spans="7:22" x14ac:dyDescent="0.2">
      <c r="G2100" s="79"/>
      <c r="J2100" s="79"/>
      <c r="M2100" s="104"/>
      <c r="P2100" s="79"/>
      <c r="S2100" s="79"/>
      <c r="V2100" s="79"/>
    </row>
    <row r="2101" spans="7:22" x14ac:dyDescent="0.2">
      <c r="G2101" s="79"/>
      <c r="J2101" s="79"/>
      <c r="M2101" s="104"/>
      <c r="P2101" s="79"/>
      <c r="S2101" s="79"/>
      <c r="V2101" s="79"/>
    </row>
    <row r="2102" spans="7:22" x14ac:dyDescent="0.2">
      <c r="G2102" s="79"/>
      <c r="J2102" s="79"/>
      <c r="M2102" s="104"/>
      <c r="P2102" s="79"/>
      <c r="S2102" s="79"/>
      <c r="V2102" s="79"/>
    </row>
    <row r="2103" spans="7:22" x14ac:dyDescent="0.2">
      <c r="G2103" s="79"/>
      <c r="J2103" s="79"/>
      <c r="M2103" s="104"/>
      <c r="P2103" s="79"/>
      <c r="S2103" s="79"/>
      <c r="V2103" s="79"/>
    </row>
    <row r="2104" spans="7:22" x14ac:dyDescent="0.2">
      <c r="G2104" s="79"/>
      <c r="J2104" s="79"/>
      <c r="M2104" s="104"/>
      <c r="P2104" s="79"/>
      <c r="S2104" s="79"/>
      <c r="V2104" s="79"/>
    </row>
    <row r="2105" spans="7:22" x14ac:dyDescent="0.2">
      <c r="G2105" s="79"/>
      <c r="J2105" s="79"/>
      <c r="M2105" s="104"/>
      <c r="P2105" s="79"/>
      <c r="S2105" s="79"/>
      <c r="V2105" s="79"/>
    </row>
    <row r="2106" spans="7:22" x14ac:dyDescent="0.2">
      <c r="G2106" s="79"/>
      <c r="J2106" s="79"/>
      <c r="M2106" s="104"/>
      <c r="P2106" s="79"/>
      <c r="S2106" s="79"/>
      <c r="V2106" s="79"/>
    </row>
    <row r="2107" spans="7:22" x14ac:dyDescent="0.2">
      <c r="G2107" s="79"/>
      <c r="J2107" s="79"/>
      <c r="M2107" s="104"/>
      <c r="P2107" s="79"/>
      <c r="S2107" s="79"/>
      <c r="V2107" s="79"/>
    </row>
    <row r="2108" spans="7:22" x14ac:dyDescent="0.2">
      <c r="G2108" s="79"/>
      <c r="J2108" s="79"/>
      <c r="M2108" s="104"/>
      <c r="P2108" s="79"/>
      <c r="S2108" s="79"/>
      <c r="V2108" s="79"/>
    </row>
    <row r="2109" spans="7:22" x14ac:dyDescent="0.2">
      <c r="G2109" s="79"/>
      <c r="J2109" s="79"/>
      <c r="M2109" s="104"/>
      <c r="P2109" s="79"/>
      <c r="S2109" s="79"/>
      <c r="V2109" s="79"/>
    </row>
    <row r="2110" spans="7:22" x14ac:dyDescent="0.2">
      <c r="G2110" s="79"/>
      <c r="J2110" s="79"/>
      <c r="M2110" s="104"/>
      <c r="P2110" s="79"/>
      <c r="S2110" s="79"/>
      <c r="V2110" s="79"/>
    </row>
    <row r="2111" spans="7:22" x14ac:dyDescent="0.2">
      <c r="G2111" s="79"/>
      <c r="J2111" s="79"/>
      <c r="M2111" s="104"/>
      <c r="P2111" s="79"/>
      <c r="S2111" s="79"/>
      <c r="V2111" s="79"/>
    </row>
    <row r="2112" spans="7:22" x14ac:dyDescent="0.2">
      <c r="G2112" s="79"/>
      <c r="J2112" s="79"/>
      <c r="M2112" s="104"/>
      <c r="P2112" s="79"/>
      <c r="S2112" s="79"/>
      <c r="V2112" s="79"/>
    </row>
    <row r="2113" spans="7:22" x14ac:dyDescent="0.2">
      <c r="G2113" s="79"/>
      <c r="J2113" s="79"/>
      <c r="M2113" s="104"/>
      <c r="P2113" s="79"/>
      <c r="S2113" s="79"/>
      <c r="V2113" s="79"/>
    </row>
    <row r="2114" spans="7:22" x14ac:dyDescent="0.2">
      <c r="G2114" s="79"/>
      <c r="J2114" s="79"/>
      <c r="M2114" s="104"/>
      <c r="P2114" s="79"/>
      <c r="S2114" s="79"/>
      <c r="V2114" s="79"/>
    </row>
    <row r="2115" spans="7:22" x14ac:dyDescent="0.2">
      <c r="G2115" s="79"/>
      <c r="J2115" s="79"/>
      <c r="M2115" s="104"/>
      <c r="P2115" s="79"/>
      <c r="S2115" s="79"/>
      <c r="V2115" s="79"/>
    </row>
    <row r="2116" spans="7:22" x14ac:dyDescent="0.2">
      <c r="G2116" s="79"/>
      <c r="J2116" s="79"/>
      <c r="M2116" s="104"/>
      <c r="P2116" s="79"/>
      <c r="S2116" s="79"/>
      <c r="V2116" s="79"/>
    </row>
    <row r="2117" spans="7:22" x14ac:dyDescent="0.2">
      <c r="G2117" s="79"/>
      <c r="J2117" s="79"/>
      <c r="M2117" s="104"/>
      <c r="P2117" s="79"/>
      <c r="S2117" s="79"/>
      <c r="V2117" s="79"/>
    </row>
    <row r="2118" spans="7:22" x14ac:dyDescent="0.2">
      <c r="G2118" s="79"/>
      <c r="J2118" s="79"/>
      <c r="M2118" s="104"/>
      <c r="P2118" s="79"/>
      <c r="S2118" s="79"/>
      <c r="V2118" s="79"/>
    </row>
    <row r="2119" spans="7:22" x14ac:dyDescent="0.2">
      <c r="G2119" s="79"/>
      <c r="J2119" s="79"/>
      <c r="M2119" s="104"/>
      <c r="P2119" s="79"/>
      <c r="S2119" s="79"/>
      <c r="V2119" s="79"/>
    </row>
    <row r="2120" spans="7:22" x14ac:dyDescent="0.2">
      <c r="G2120" s="79"/>
      <c r="J2120" s="79"/>
      <c r="M2120" s="104"/>
      <c r="P2120" s="79"/>
      <c r="S2120" s="79"/>
      <c r="V2120" s="79"/>
    </row>
    <row r="2121" spans="7:22" x14ac:dyDescent="0.2">
      <c r="G2121" s="79"/>
      <c r="J2121" s="79"/>
      <c r="M2121" s="104"/>
      <c r="P2121" s="79"/>
      <c r="S2121" s="79"/>
      <c r="V2121" s="79"/>
    </row>
    <row r="2122" spans="7:22" x14ac:dyDescent="0.2">
      <c r="G2122" s="79"/>
      <c r="J2122" s="79"/>
      <c r="M2122" s="104"/>
      <c r="P2122" s="79"/>
      <c r="S2122" s="79"/>
      <c r="V2122" s="79"/>
    </row>
    <row r="2123" spans="7:22" x14ac:dyDescent="0.2">
      <c r="G2123" s="79"/>
      <c r="J2123" s="79"/>
      <c r="M2123" s="104"/>
      <c r="P2123" s="79"/>
      <c r="S2123" s="79"/>
      <c r="V2123" s="79"/>
    </row>
    <row r="2124" spans="7:22" x14ac:dyDescent="0.2">
      <c r="G2124" s="79"/>
      <c r="J2124" s="79"/>
      <c r="M2124" s="104"/>
      <c r="P2124" s="79"/>
      <c r="S2124" s="79"/>
      <c r="V2124" s="79"/>
    </row>
    <row r="2125" spans="7:22" x14ac:dyDescent="0.2">
      <c r="G2125" s="79"/>
      <c r="J2125" s="79"/>
      <c r="M2125" s="104"/>
      <c r="P2125" s="79"/>
      <c r="S2125" s="79"/>
      <c r="V2125" s="79"/>
    </row>
    <row r="2126" spans="7:22" x14ac:dyDescent="0.2">
      <c r="G2126" s="79"/>
      <c r="J2126" s="79"/>
      <c r="M2126" s="104"/>
      <c r="P2126" s="79"/>
      <c r="S2126" s="79"/>
      <c r="V2126" s="79"/>
    </row>
    <row r="2127" spans="7:22" x14ac:dyDescent="0.2">
      <c r="G2127" s="79"/>
      <c r="J2127" s="79"/>
      <c r="M2127" s="104"/>
      <c r="P2127" s="79"/>
      <c r="S2127" s="79"/>
      <c r="V2127" s="79"/>
    </row>
    <row r="2128" spans="7:22" x14ac:dyDescent="0.2">
      <c r="G2128" s="79"/>
      <c r="J2128" s="79"/>
      <c r="M2128" s="104"/>
      <c r="P2128" s="79"/>
      <c r="S2128" s="79"/>
      <c r="V2128" s="79"/>
    </row>
    <row r="2129" spans="7:22" x14ac:dyDescent="0.2">
      <c r="G2129" s="79"/>
      <c r="J2129" s="79"/>
      <c r="M2129" s="104"/>
      <c r="P2129" s="79"/>
      <c r="S2129" s="79"/>
      <c r="V2129" s="79"/>
    </row>
    <row r="2130" spans="7:22" x14ac:dyDescent="0.2">
      <c r="G2130" s="79"/>
      <c r="J2130" s="79"/>
      <c r="M2130" s="104"/>
      <c r="P2130" s="79"/>
      <c r="S2130" s="79"/>
      <c r="V2130" s="79"/>
    </row>
    <row r="2131" spans="7:22" x14ac:dyDescent="0.2">
      <c r="G2131" s="79"/>
      <c r="J2131" s="79"/>
      <c r="M2131" s="104"/>
      <c r="P2131" s="79"/>
      <c r="S2131" s="79"/>
      <c r="V2131" s="79"/>
    </row>
    <row r="2132" spans="7:22" x14ac:dyDescent="0.2">
      <c r="G2132" s="79"/>
      <c r="J2132" s="79"/>
      <c r="M2132" s="104"/>
      <c r="P2132" s="79"/>
      <c r="S2132" s="79"/>
      <c r="V2132" s="79"/>
    </row>
    <row r="2133" spans="7:22" x14ac:dyDescent="0.2">
      <c r="G2133" s="79"/>
      <c r="J2133" s="79"/>
      <c r="M2133" s="104"/>
      <c r="P2133" s="79"/>
      <c r="S2133" s="79"/>
      <c r="V2133" s="79"/>
    </row>
    <row r="2134" spans="7:22" x14ac:dyDescent="0.2">
      <c r="G2134" s="79"/>
      <c r="J2134" s="79"/>
      <c r="M2134" s="104"/>
      <c r="P2134" s="79"/>
      <c r="S2134" s="79"/>
      <c r="V2134" s="79"/>
    </row>
    <row r="2135" spans="7:22" x14ac:dyDescent="0.2">
      <c r="G2135" s="79"/>
      <c r="J2135" s="79"/>
      <c r="M2135" s="104"/>
      <c r="P2135" s="79"/>
      <c r="S2135" s="79"/>
      <c r="V2135" s="79"/>
    </row>
    <row r="2136" spans="7:22" x14ac:dyDescent="0.2">
      <c r="G2136" s="79"/>
      <c r="J2136" s="79"/>
      <c r="M2136" s="104"/>
      <c r="P2136" s="79"/>
      <c r="S2136" s="79"/>
      <c r="V2136" s="79"/>
    </row>
    <row r="2137" spans="7:22" x14ac:dyDescent="0.2">
      <c r="G2137" s="79"/>
      <c r="J2137" s="79"/>
      <c r="M2137" s="104"/>
      <c r="P2137" s="79"/>
      <c r="S2137" s="79"/>
      <c r="V2137" s="79"/>
    </row>
    <row r="2138" spans="7:22" x14ac:dyDescent="0.2">
      <c r="G2138" s="79"/>
      <c r="J2138" s="79"/>
      <c r="M2138" s="104"/>
      <c r="P2138" s="79"/>
      <c r="S2138" s="79"/>
      <c r="V2138" s="79"/>
    </row>
    <row r="2139" spans="7:22" x14ac:dyDescent="0.2">
      <c r="G2139" s="79"/>
      <c r="J2139" s="79"/>
      <c r="M2139" s="104"/>
      <c r="P2139" s="79"/>
      <c r="S2139" s="79"/>
      <c r="V2139" s="79"/>
    </row>
    <row r="2140" spans="7:22" x14ac:dyDescent="0.2">
      <c r="G2140" s="79"/>
      <c r="J2140" s="79"/>
      <c r="M2140" s="104"/>
      <c r="P2140" s="79"/>
      <c r="S2140" s="79"/>
      <c r="V2140" s="79"/>
    </row>
    <row r="2141" spans="7:22" x14ac:dyDescent="0.2">
      <c r="G2141" s="79"/>
      <c r="J2141" s="79"/>
      <c r="M2141" s="104"/>
      <c r="P2141" s="79"/>
      <c r="S2141" s="79"/>
      <c r="V2141" s="79"/>
    </row>
    <row r="2142" spans="7:22" x14ac:dyDescent="0.2">
      <c r="G2142" s="79"/>
      <c r="J2142" s="79"/>
      <c r="M2142" s="104"/>
      <c r="P2142" s="79"/>
      <c r="S2142" s="79"/>
      <c r="V2142" s="79"/>
    </row>
    <row r="2143" spans="7:22" x14ac:dyDescent="0.2">
      <c r="G2143" s="79"/>
      <c r="J2143" s="79"/>
      <c r="M2143" s="104"/>
      <c r="P2143" s="79"/>
      <c r="S2143" s="79"/>
      <c r="V2143" s="79"/>
    </row>
    <row r="2144" spans="7:22" x14ac:dyDescent="0.2">
      <c r="G2144" s="79"/>
      <c r="J2144" s="79"/>
      <c r="M2144" s="104"/>
      <c r="P2144" s="79"/>
      <c r="S2144" s="79"/>
      <c r="V2144" s="79"/>
    </row>
    <row r="2145" spans="7:22" x14ac:dyDescent="0.2">
      <c r="G2145" s="79"/>
      <c r="J2145" s="79"/>
      <c r="M2145" s="104"/>
      <c r="P2145" s="79"/>
      <c r="S2145" s="79"/>
      <c r="V2145" s="79"/>
    </row>
    <row r="2146" spans="7:22" x14ac:dyDescent="0.2">
      <c r="G2146" s="79"/>
      <c r="J2146" s="79"/>
      <c r="M2146" s="104"/>
      <c r="P2146" s="79"/>
      <c r="S2146" s="79"/>
      <c r="V2146" s="79"/>
    </row>
    <row r="2147" spans="7:22" x14ac:dyDescent="0.2">
      <c r="G2147" s="79"/>
      <c r="J2147" s="79"/>
      <c r="M2147" s="104"/>
      <c r="P2147" s="79"/>
      <c r="S2147" s="79"/>
      <c r="V2147" s="79"/>
    </row>
    <row r="2148" spans="7:22" x14ac:dyDescent="0.2">
      <c r="G2148" s="79"/>
      <c r="J2148" s="79"/>
      <c r="M2148" s="104"/>
      <c r="P2148" s="79"/>
      <c r="S2148" s="79"/>
      <c r="V2148" s="79"/>
    </row>
    <row r="2149" spans="7:22" x14ac:dyDescent="0.2">
      <c r="G2149" s="79"/>
      <c r="J2149" s="79"/>
      <c r="M2149" s="104"/>
      <c r="P2149" s="79"/>
      <c r="S2149" s="79"/>
      <c r="V2149" s="79"/>
    </row>
    <row r="2150" spans="7:22" x14ac:dyDescent="0.2">
      <c r="G2150" s="79"/>
      <c r="J2150" s="79"/>
      <c r="M2150" s="104"/>
      <c r="P2150" s="79"/>
      <c r="S2150" s="79"/>
      <c r="V2150" s="79"/>
    </row>
    <row r="2151" spans="7:22" x14ac:dyDescent="0.2">
      <c r="G2151" s="79"/>
      <c r="J2151" s="79"/>
      <c r="M2151" s="104"/>
      <c r="P2151" s="79"/>
      <c r="S2151" s="79"/>
      <c r="V2151" s="79"/>
    </row>
    <row r="2152" spans="7:22" x14ac:dyDescent="0.2">
      <c r="G2152" s="79"/>
      <c r="J2152" s="79"/>
      <c r="M2152" s="104"/>
      <c r="P2152" s="79"/>
      <c r="S2152" s="79"/>
      <c r="V2152" s="79"/>
    </row>
    <row r="2153" spans="7:22" x14ac:dyDescent="0.2">
      <c r="G2153" s="79"/>
      <c r="J2153" s="79"/>
      <c r="M2153" s="104"/>
      <c r="P2153" s="79"/>
      <c r="S2153" s="79"/>
      <c r="V2153" s="79"/>
    </row>
    <row r="2154" spans="7:22" x14ac:dyDescent="0.2">
      <c r="G2154" s="79"/>
      <c r="J2154" s="79"/>
      <c r="M2154" s="104"/>
      <c r="P2154" s="79"/>
      <c r="S2154" s="79"/>
      <c r="V2154" s="79"/>
    </row>
    <row r="2155" spans="7:22" x14ac:dyDescent="0.2">
      <c r="G2155" s="79"/>
      <c r="J2155" s="79"/>
      <c r="M2155" s="104"/>
      <c r="P2155" s="79"/>
      <c r="S2155" s="79"/>
      <c r="V2155" s="79"/>
    </row>
    <row r="2156" spans="7:22" x14ac:dyDescent="0.2">
      <c r="G2156" s="79"/>
      <c r="J2156" s="79"/>
      <c r="M2156" s="104"/>
      <c r="P2156" s="79"/>
      <c r="S2156" s="79"/>
      <c r="V2156" s="79"/>
    </row>
    <row r="2157" spans="7:22" x14ac:dyDescent="0.2">
      <c r="G2157" s="79"/>
      <c r="J2157" s="79"/>
      <c r="M2157" s="104"/>
      <c r="P2157" s="79"/>
      <c r="S2157" s="79"/>
      <c r="V2157" s="79"/>
    </row>
    <row r="2158" spans="7:22" x14ac:dyDescent="0.2">
      <c r="G2158" s="79"/>
      <c r="J2158" s="79"/>
      <c r="M2158" s="104"/>
      <c r="P2158" s="79"/>
      <c r="S2158" s="79"/>
      <c r="V2158" s="79"/>
    </row>
    <row r="2159" spans="7:22" x14ac:dyDescent="0.2">
      <c r="G2159" s="79"/>
      <c r="J2159" s="79"/>
      <c r="M2159" s="104"/>
      <c r="P2159" s="79"/>
      <c r="S2159" s="79"/>
      <c r="V2159" s="79"/>
    </row>
    <row r="2160" spans="7:22" x14ac:dyDescent="0.2">
      <c r="G2160" s="79"/>
      <c r="J2160" s="79"/>
      <c r="M2160" s="104"/>
      <c r="P2160" s="79"/>
      <c r="S2160" s="79"/>
      <c r="V2160" s="79"/>
    </row>
    <row r="2161" spans="7:22" x14ac:dyDescent="0.2">
      <c r="G2161" s="79"/>
      <c r="J2161" s="79"/>
      <c r="M2161" s="104"/>
      <c r="P2161" s="79"/>
      <c r="S2161" s="79"/>
      <c r="V2161" s="79"/>
    </row>
    <row r="2162" spans="7:22" x14ac:dyDescent="0.2">
      <c r="G2162" s="79"/>
      <c r="J2162" s="79"/>
      <c r="M2162" s="104"/>
      <c r="P2162" s="79"/>
      <c r="S2162" s="79"/>
      <c r="V2162" s="79"/>
    </row>
    <row r="2163" spans="7:22" x14ac:dyDescent="0.2">
      <c r="G2163" s="79"/>
      <c r="J2163" s="79"/>
      <c r="M2163" s="104"/>
      <c r="P2163" s="79"/>
      <c r="S2163" s="79"/>
      <c r="V2163" s="79"/>
    </row>
    <row r="2164" spans="7:22" x14ac:dyDescent="0.2">
      <c r="G2164" s="79"/>
      <c r="J2164" s="79"/>
      <c r="M2164" s="104"/>
      <c r="P2164" s="79"/>
      <c r="S2164" s="79"/>
      <c r="V2164" s="79"/>
    </row>
    <row r="2165" spans="7:22" x14ac:dyDescent="0.2">
      <c r="G2165" s="79"/>
      <c r="J2165" s="79"/>
      <c r="M2165" s="104"/>
      <c r="P2165" s="79"/>
      <c r="S2165" s="79"/>
      <c r="V2165" s="79"/>
    </row>
    <row r="2166" spans="7:22" x14ac:dyDescent="0.2">
      <c r="G2166" s="79"/>
      <c r="J2166" s="79"/>
      <c r="M2166" s="104"/>
      <c r="P2166" s="79"/>
      <c r="S2166" s="79"/>
      <c r="V2166" s="79"/>
    </row>
    <row r="2167" spans="7:22" x14ac:dyDescent="0.2">
      <c r="G2167" s="79"/>
      <c r="J2167" s="79"/>
      <c r="M2167" s="104"/>
      <c r="P2167" s="79"/>
      <c r="S2167" s="79"/>
      <c r="V2167" s="79"/>
    </row>
    <row r="2168" spans="7:22" x14ac:dyDescent="0.2">
      <c r="G2168" s="79"/>
      <c r="J2168" s="79"/>
      <c r="M2168" s="104"/>
      <c r="P2168" s="79"/>
      <c r="S2168" s="79"/>
      <c r="V2168" s="79"/>
    </row>
    <row r="2169" spans="7:22" x14ac:dyDescent="0.2">
      <c r="G2169" s="79"/>
      <c r="J2169" s="79"/>
      <c r="M2169" s="104"/>
      <c r="P2169" s="79"/>
      <c r="S2169" s="79"/>
      <c r="V2169" s="79"/>
    </row>
    <row r="2170" spans="7:22" x14ac:dyDescent="0.2">
      <c r="G2170" s="79"/>
      <c r="J2170" s="79"/>
      <c r="M2170" s="104"/>
      <c r="P2170" s="79"/>
      <c r="S2170" s="79"/>
      <c r="V2170" s="79"/>
    </row>
    <row r="2171" spans="7:22" x14ac:dyDescent="0.2">
      <c r="G2171" s="79"/>
      <c r="J2171" s="79"/>
      <c r="M2171" s="104"/>
      <c r="P2171" s="79"/>
      <c r="S2171" s="79"/>
      <c r="V2171" s="79"/>
    </row>
    <row r="2172" spans="7:22" x14ac:dyDescent="0.2">
      <c r="G2172" s="79"/>
      <c r="J2172" s="79"/>
      <c r="M2172" s="104"/>
      <c r="P2172" s="79"/>
      <c r="S2172" s="79"/>
      <c r="V2172" s="79"/>
    </row>
    <row r="2173" spans="7:22" x14ac:dyDescent="0.2">
      <c r="G2173" s="79"/>
      <c r="J2173" s="79"/>
      <c r="M2173" s="104"/>
      <c r="P2173" s="79"/>
      <c r="S2173" s="79"/>
      <c r="V2173" s="79"/>
    </row>
    <row r="2174" spans="7:22" x14ac:dyDescent="0.2">
      <c r="G2174" s="79"/>
      <c r="J2174" s="79"/>
      <c r="M2174" s="104"/>
      <c r="P2174" s="79"/>
      <c r="S2174" s="79"/>
      <c r="V2174" s="79"/>
    </row>
    <row r="2175" spans="7:22" x14ac:dyDescent="0.2">
      <c r="G2175" s="79"/>
      <c r="J2175" s="79"/>
      <c r="M2175" s="104"/>
      <c r="P2175" s="79"/>
      <c r="S2175" s="79"/>
      <c r="V2175" s="79"/>
    </row>
    <row r="2176" spans="7:22" x14ac:dyDescent="0.2">
      <c r="G2176" s="79"/>
      <c r="J2176" s="79"/>
      <c r="M2176" s="104"/>
      <c r="P2176" s="79"/>
      <c r="S2176" s="79"/>
      <c r="V2176" s="79"/>
    </row>
    <row r="2177" spans="7:22" x14ac:dyDescent="0.2">
      <c r="G2177" s="79"/>
      <c r="J2177" s="79"/>
      <c r="M2177" s="104"/>
      <c r="P2177" s="79"/>
      <c r="S2177" s="79"/>
      <c r="V2177" s="79"/>
    </row>
    <row r="2178" spans="7:22" x14ac:dyDescent="0.2">
      <c r="G2178" s="79"/>
      <c r="J2178" s="79"/>
      <c r="M2178" s="104"/>
      <c r="P2178" s="79"/>
      <c r="S2178" s="79"/>
      <c r="V2178" s="79"/>
    </row>
    <row r="2179" spans="7:22" x14ac:dyDescent="0.2">
      <c r="G2179" s="79"/>
      <c r="J2179" s="79"/>
      <c r="M2179" s="104"/>
      <c r="P2179" s="79"/>
      <c r="S2179" s="79"/>
      <c r="V2179" s="79"/>
    </row>
    <row r="2180" spans="7:22" x14ac:dyDescent="0.2">
      <c r="G2180" s="79"/>
      <c r="J2180" s="79"/>
      <c r="M2180" s="104"/>
      <c r="P2180" s="79"/>
      <c r="S2180" s="79"/>
      <c r="V2180" s="79"/>
    </row>
    <row r="2181" spans="7:22" x14ac:dyDescent="0.2">
      <c r="G2181" s="79"/>
      <c r="J2181" s="79"/>
      <c r="M2181" s="104"/>
      <c r="P2181" s="79"/>
      <c r="S2181" s="79"/>
      <c r="V2181" s="79"/>
    </row>
    <row r="2182" spans="7:22" x14ac:dyDescent="0.2">
      <c r="G2182" s="79"/>
      <c r="J2182" s="79"/>
      <c r="M2182" s="104"/>
      <c r="P2182" s="79"/>
      <c r="S2182" s="79"/>
      <c r="V2182" s="79"/>
    </row>
    <row r="2183" spans="7:22" x14ac:dyDescent="0.2">
      <c r="G2183" s="79"/>
      <c r="J2183" s="79"/>
      <c r="M2183" s="104"/>
      <c r="P2183" s="79"/>
      <c r="S2183" s="79"/>
      <c r="V2183" s="79"/>
    </row>
    <row r="2184" spans="7:22" x14ac:dyDescent="0.2">
      <c r="G2184" s="79"/>
      <c r="J2184" s="79"/>
      <c r="M2184" s="104"/>
      <c r="P2184" s="79"/>
      <c r="S2184" s="79"/>
      <c r="V2184" s="79"/>
    </row>
    <row r="2185" spans="7:22" x14ac:dyDescent="0.2">
      <c r="G2185" s="79"/>
      <c r="J2185" s="79"/>
      <c r="M2185" s="104"/>
      <c r="P2185" s="79"/>
      <c r="S2185" s="79"/>
      <c r="V2185" s="79"/>
    </row>
    <row r="2186" spans="7:22" x14ac:dyDescent="0.2">
      <c r="G2186" s="79"/>
      <c r="J2186" s="79"/>
      <c r="M2186" s="104"/>
      <c r="P2186" s="79"/>
      <c r="S2186" s="79"/>
      <c r="V2186" s="79"/>
    </row>
    <row r="2187" spans="7:22" x14ac:dyDescent="0.2">
      <c r="G2187" s="79"/>
      <c r="J2187" s="79"/>
      <c r="M2187" s="104"/>
      <c r="P2187" s="79"/>
      <c r="S2187" s="79"/>
      <c r="V2187" s="79"/>
    </row>
    <row r="2188" spans="7:22" x14ac:dyDescent="0.2">
      <c r="G2188" s="79"/>
      <c r="J2188" s="79"/>
      <c r="M2188" s="104"/>
      <c r="P2188" s="79"/>
      <c r="S2188" s="79"/>
      <c r="V2188" s="79"/>
    </row>
    <row r="2189" spans="7:22" x14ac:dyDescent="0.2">
      <c r="G2189" s="79"/>
      <c r="J2189" s="79"/>
      <c r="M2189" s="104"/>
      <c r="P2189" s="79"/>
      <c r="S2189" s="79"/>
      <c r="V2189" s="79"/>
    </row>
    <row r="2190" spans="7:22" x14ac:dyDescent="0.2">
      <c r="G2190" s="79"/>
      <c r="J2190" s="79"/>
      <c r="M2190" s="104"/>
      <c r="P2190" s="79"/>
      <c r="S2190" s="79"/>
      <c r="V2190" s="79"/>
    </row>
    <row r="2191" spans="7:22" x14ac:dyDescent="0.2">
      <c r="G2191" s="79"/>
      <c r="J2191" s="79"/>
      <c r="M2191" s="104"/>
      <c r="P2191" s="79"/>
      <c r="S2191" s="79"/>
      <c r="V2191" s="79"/>
    </row>
    <row r="2192" spans="7:22" x14ac:dyDescent="0.2">
      <c r="G2192" s="79"/>
      <c r="J2192" s="79"/>
      <c r="M2192" s="104"/>
      <c r="P2192" s="79"/>
      <c r="S2192" s="79"/>
      <c r="V2192" s="79"/>
    </row>
    <row r="2193" spans="7:22" x14ac:dyDescent="0.2">
      <c r="G2193" s="79"/>
      <c r="J2193" s="79"/>
      <c r="M2193" s="104"/>
      <c r="P2193" s="79"/>
      <c r="S2193" s="79"/>
      <c r="V2193" s="79"/>
    </row>
    <row r="2194" spans="7:22" x14ac:dyDescent="0.2">
      <c r="G2194" s="79"/>
      <c r="J2194" s="79"/>
      <c r="M2194" s="104"/>
      <c r="P2194" s="79"/>
      <c r="S2194" s="79"/>
      <c r="V2194" s="79"/>
    </row>
    <row r="2195" spans="7:22" x14ac:dyDescent="0.2">
      <c r="G2195" s="79"/>
      <c r="J2195" s="79"/>
      <c r="M2195" s="104"/>
      <c r="P2195" s="79"/>
      <c r="S2195" s="79"/>
      <c r="V2195" s="79"/>
    </row>
    <row r="2196" spans="7:22" x14ac:dyDescent="0.2">
      <c r="G2196" s="79"/>
      <c r="J2196" s="79"/>
      <c r="M2196" s="104"/>
      <c r="P2196" s="79"/>
      <c r="S2196" s="79"/>
      <c r="V2196" s="79"/>
    </row>
    <row r="2197" spans="7:22" x14ac:dyDescent="0.2">
      <c r="G2197" s="79"/>
      <c r="J2197" s="79"/>
      <c r="M2197" s="104"/>
      <c r="P2197" s="79"/>
      <c r="S2197" s="79"/>
      <c r="V2197" s="79"/>
    </row>
    <row r="2198" spans="7:22" x14ac:dyDescent="0.2">
      <c r="G2198" s="79"/>
      <c r="J2198" s="79"/>
      <c r="M2198" s="104"/>
      <c r="P2198" s="79"/>
      <c r="S2198" s="79"/>
      <c r="V2198" s="79"/>
    </row>
    <row r="2199" spans="7:22" x14ac:dyDescent="0.2">
      <c r="G2199" s="79"/>
      <c r="J2199" s="79"/>
      <c r="M2199" s="104"/>
      <c r="P2199" s="79"/>
      <c r="S2199" s="79"/>
      <c r="V2199" s="79"/>
    </row>
    <row r="2200" spans="7:22" x14ac:dyDescent="0.2">
      <c r="G2200" s="79"/>
      <c r="J2200" s="79"/>
      <c r="M2200" s="104"/>
      <c r="P2200" s="79"/>
      <c r="S2200" s="79"/>
      <c r="V2200" s="79"/>
    </row>
    <row r="2201" spans="7:22" x14ac:dyDescent="0.2">
      <c r="G2201" s="79"/>
      <c r="J2201" s="79"/>
      <c r="M2201" s="104"/>
      <c r="P2201" s="79"/>
      <c r="S2201" s="79"/>
      <c r="V2201" s="79"/>
    </row>
    <row r="2202" spans="7:22" x14ac:dyDescent="0.2">
      <c r="G2202" s="79"/>
      <c r="J2202" s="79"/>
      <c r="M2202" s="104"/>
      <c r="P2202" s="79"/>
      <c r="S2202" s="79"/>
      <c r="V2202" s="79"/>
    </row>
    <row r="2203" spans="7:22" x14ac:dyDescent="0.2">
      <c r="G2203" s="79"/>
      <c r="J2203" s="79"/>
      <c r="M2203" s="104"/>
      <c r="P2203" s="79"/>
      <c r="S2203" s="79"/>
      <c r="V2203" s="79"/>
    </row>
    <row r="2204" spans="7:22" x14ac:dyDescent="0.2">
      <c r="G2204" s="79"/>
      <c r="J2204" s="79"/>
      <c r="M2204" s="104"/>
      <c r="P2204" s="79"/>
      <c r="S2204" s="79"/>
      <c r="V2204" s="79"/>
    </row>
    <row r="2205" spans="7:22" x14ac:dyDescent="0.2">
      <c r="G2205" s="79"/>
      <c r="J2205" s="79"/>
      <c r="M2205" s="104"/>
      <c r="P2205" s="79"/>
      <c r="S2205" s="79"/>
      <c r="V2205" s="79"/>
    </row>
    <row r="2206" spans="7:22" x14ac:dyDescent="0.2">
      <c r="G2206" s="79"/>
      <c r="J2206" s="79"/>
      <c r="M2206" s="104"/>
      <c r="P2206" s="79"/>
      <c r="S2206" s="79"/>
      <c r="V2206" s="79"/>
    </row>
    <row r="2207" spans="7:22" x14ac:dyDescent="0.2">
      <c r="G2207" s="79"/>
      <c r="J2207" s="79"/>
      <c r="M2207" s="104"/>
      <c r="P2207" s="79"/>
      <c r="S2207" s="79"/>
      <c r="V2207" s="79"/>
    </row>
    <row r="2208" spans="7:22" x14ac:dyDescent="0.2">
      <c r="G2208" s="79"/>
      <c r="J2208" s="79"/>
      <c r="M2208" s="104"/>
      <c r="P2208" s="79"/>
      <c r="S2208" s="79"/>
      <c r="V2208" s="79"/>
    </row>
    <row r="2209" spans="7:22" x14ac:dyDescent="0.2">
      <c r="G2209" s="79"/>
      <c r="J2209" s="79"/>
      <c r="M2209" s="104"/>
      <c r="P2209" s="79"/>
      <c r="S2209" s="79"/>
      <c r="V2209" s="79"/>
    </row>
    <row r="2210" spans="7:22" x14ac:dyDescent="0.2">
      <c r="G2210" s="79"/>
      <c r="J2210" s="79"/>
      <c r="M2210" s="104"/>
      <c r="P2210" s="79"/>
      <c r="S2210" s="79"/>
      <c r="V2210" s="79"/>
    </row>
    <row r="2211" spans="7:22" x14ac:dyDescent="0.2">
      <c r="G2211" s="79"/>
      <c r="J2211" s="79"/>
      <c r="M2211" s="104"/>
      <c r="P2211" s="79"/>
      <c r="S2211" s="79"/>
      <c r="V2211" s="79"/>
    </row>
    <row r="2212" spans="7:22" x14ac:dyDescent="0.2">
      <c r="G2212" s="79"/>
      <c r="J2212" s="79"/>
      <c r="M2212" s="104"/>
      <c r="P2212" s="79"/>
      <c r="S2212" s="79"/>
      <c r="V2212" s="79"/>
    </row>
    <row r="2213" spans="7:22" x14ac:dyDescent="0.2">
      <c r="G2213" s="79"/>
      <c r="J2213" s="79"/>
      <c r="M2213" s="104"/>
      <c r="P2213" s="79"/>
      <c r="S2213" s="79"/>
      <c r="V2213" s="79"/>
    </row>
    <row r="2214" spans="7:22" x14ac:dyDescent="0.2">
      <c r="G2214" s="79"/>
      <c r="J2214" s="79"/>
      <c r="M2214" s="104"/>
      <c r="P2214" s="79"/>
      <c r="S2214" s="79"/>
      <c r="V2214" s="79"/>
    </row>
    <row r="2215" spans="7:22" x14ac:dyDescent="0.2">
      <c r="G2215" s="79"/>
      <c r="J2215" s="79"/>
      <c r="M2215" s="104"/>
      <c r="P2215" s="79"/>
      <c r="S2215" s="79"/>
      <c r="V2215" s="79"/>
    </row>
    <row r="2216" spans="7:22" x14ac:dyDescent="0.2">
      <c r="G2216" s="79"/>
      <c r="J2216" s="79"/>
      <c r="M2216" s="104"/>
      <c r="P2216" s="79"/>
      <c r="S2216" s="79"/>
      <c r="V2216" s="79"/>
    </row>
    <row r="2217" spans="7:22" x14ac:dyDescent="0.2">
      <c r="G2217" s="79"/>
      <c r="J2217" s="79"/>
      <c r="M2217" s="104"/>
      <c r="P2217" s="79"/>
      <c r="S2217" s="79"/>
      <c r="V2217" s="79"/>
    </row>
    <row r="2218" spans="7:22" x14ac:dyDescent="0.2">
      <c r="G2218" s="79"/>
      <c r="J2218" s="79"/>
      <c r="M2218" s="104"/>
      <c r="P2218" s="79"/>
      <c r="S2218" s="79"/>
      <c r="V2218" s="79"/>
    </row>
    <row r="2219" spans="7:22" x14ac:dyDescent="0.2">
      <c r="G2219" s="79"/>
      <c r="J2219" s="79"/>
      <c r="M2219" s="104"/>
      <c r="P2219" s="79"/>
      <c r="S2219" s="79"/>
      <c r="V2219" s="79"/>
    </row>
    <row r="2220" spans="7:22" x14ac:dyDescent="0.2">
      <c r="G2220" s="79"/>
      <c r="J2220" s="79"/>
      <c r="M2220" s="104"/>
      <c r="P2220" s="79"/>
      <c r="S2220" s="79"/>
      <c r="V2220" s="79"/>
    </row>
    <row r="2221" spans="7:22" x14ac:dyDescent="0.2">
      <c r="G2221" s="79"/>
      <c r="J2221" s="79"/>
      <c r="M2221" s="104"/>
      <c r="P2221" s="79"/>
      <c r="S2221" s="79"/>
      <c r="V2221" s="79"/>
    </row>
    <row r="2222" spans="7:22" x14ac:dyDescent="0.2">
      <c r="G2222" s="79"/>
      <c r="J2222" s="79"/>
      <c r="M2222" s="104"/>
      <c r="P2222" s="79"/>
      <c r="S2222" s="79"/>
      <c r="V2222" s="79"/>
    </row>
    <row r="2223" spans="7:22" x14ac:dyDescent="0.2">
      <c r="G2223" s="79"/>
      <c r="J2223" s="79"/>
      <c r="M2223" s="104"/>
      <c r="P2223" s="79"/>
      <c r="S2223" s="79"/>
      <c r="V2223" s="79"/>
    </row>
    <row r="2224" spans="7:22" x14ac:dyDescent="0.2">
      <c r="G2224" s="79"/>
      <c r="J2224" s="79"/>
      <c r="M2224" s="104"/>
      <c r="P2224" s="79"/>
      <c r="S2224" s="79"/>
      <c r="V2224" s="79"/>
    </row>
    <row r="2225" spans="7:22" x14ac:dyDescent="0.2">
      <c r="G2225" s="79"/>
      <c r="J2225" s="79"/>
      <c r="M2225" s="104"/>
      <c r="P2225" s="79"/>
      <c r="S2225" s="79"/>
      <c r="V2225" s="79"/>
    </row>
    <row r="2226" spans="7:22" x14ac:dyDescent="0.2">
      <c r="G2226" s="79"/>
      <c r="J2226" s="79"/>
      <c r="M2226" s="104"/>
      <c r="P2226" s="79"/>
      <c r="S2226" s="79"/>
      <c r="V2226" s="79"/>
    </row>
    <row r="2227" spans="7:22" x14ac:dyDescent="0.2">
      <c r="G2227" s="79"/>
      <c r="J2227" s="79"/>
      <c r="M2227" s="104"/>
      <c r="P2227" s="79"/>
      <c r="S2227" s="79"/>
      <c r="V2227" s="79"/>
    </row>
    <row r="2228" spans="7:22" x14ac:dyDescent="0.2">
      <c r="G2228" s="79"/>
      <c r="J2228" s="79"/>
      <c r="M2228" s="104"/>
      <c r="P2228" s="79"/>
      <c r="S2228" s="79"/>
      <c r="V2228" s="79"/>
    </row>
    <row r="2229" spans="7:22" x14ac:dyDescent="0.2">
      <c r="G2229" s="79"/>
      <c r="J2229" s="79"/>
      <c r="M2229" s="104"/>
      <c r="P2229" s="79"/>
      <c r="S2229" s="79"/>
      <c r="V2229" s="79"/>
    </row>
    <row r="2230" spans="7:22" x14ac:dyDescent="0.2">
      <c r="G2230" s="79"/>
      <c r="J2230" s="79"/>
      <c r="M2230" s="104"/>
      <c r="P2230" s="79"/>
      <c r="S2230" s="79"/>
      <c r="V2230" s="79"/>
    </row>
    <row r="2231" spans="7:22" x14ac:dyDescent="0.2">
      <c r="G2231" s="79"/>
      <c r="J2231" s="79"/>
      <c r="M2231" s="104"/>
      <c r="P2231" s="79"/>
      <c r="S2231" s="79"/>
      <c r="V2231" s="79"/>
    </row>
    <row r="2232" spans="7:22" x14ac:dyDescent="0.2">
      <c r="G2232" s="79"/>
      <c r="J2232" s="79"/>
      <c r="M2232" s="104"/>
      <c r="P2232" s="79"/>
      <c r="S2232" s="79"/>
      <c r="V2232" s="79"/>
    </row>
    <row r="2233" spans="7:22" x14ac:dyDescent="0.2">
      <c r="G2233" s="79"/>
      <c r="J2233" s="79"/>
      <c r="M2233" s="104"/>
      <c r="P2233" s="79"/>
      <c r="S2233" s="79"/>
      <c r="V2233" s="79"/>
    </row>
    <row r="2234" spans="7:22" x14ac:dyDescent="0.2">
      <c r="G2234" s="79"/>
      <c r="J2234" s="79"/>
      <c r="M2234" s="104"/>
      <c r="P2234" s="79"/>
      <c r="S2234" s="79"/>
      <c r="V2234" s="79"/>
    </row>
    <row r="2235" spans="7:22" x14ac:dyDescent="0.2">
      <c r="G2235" s="79"/>
      <c r="J2235" s="79"/>
      <c r="M2235" s="104"/>
      <c r="P2235" s="79"/>
      <c r="S2235" s="79"/>
      <c r="V2235" s="79"/>
    </row>
    <row r="2236" spans="7:22" x14ac:dyDescent="0.2">
      <c r="G2236" s="79"/>
      <c r="J2236" s="79"/>
      <c r="M2236" s="104"/>
      <c r="P2236" s="79"/>
      <c r="S2236" s="79"/>
      <c r="V2236" s="79"/>
    </row>
    <row r="2237" spans="7:22" x14ac:dyDescent="0.2">
      <c r="G2237" s="79"/>
      <c r="J2237" s="79"/>
      <c r="M2237" s="104"/>
      <c r="P2237" s="79"/>
      <c r="S2237" s="79"/>
      <c r="V2237" s="79"/>
    </row>
    <row r="2238" spans="7:22" x14ac:dyDescent="0.2">
      <c r="G2238" s="79"/>
      <c r="J2238" s="79"/>
      <c r="M2238" s="104"/>
      <c r="P2238" s="79"/>
      <c r="S2238" s="79"/>
      <c r="V2238" s="79"/>
    </row>
    <row r="2239" spans="7:22" x14ac:dyDescent="0.2">
      <c r="G2239" s="79"/>
      <c r="J2239" s="79"/>
      <c r="M2239" s="104"/>
      <c r="P2239" s="79"/>
      <c r="S2239" s="79"/>
      <c r="V2239" s="79"/>
    </row>
    <row r="2240" spans="7:22" x14ac:dyDescent="0.2">
      <c r="G2240" s="79"/>
      <c r="J2240" s="79"/>
      <c r="M2240" s="104"/>
      <c r="P2240" s="79"/>
      <c r="S2240" s="79"/>
      <c r="V2240" s="79"/>
    </row>
    <row r="2241" spans="7:22" x14ac:dyDescent="0.2">
      <c r="G2241" s="79"/>
      <c r="J2241" s="79"/>
      <c r="M2241" s="104"/>
      <c r="P2241" s="79"/>
      <c r="S2241" s="79"/>
      <c r="V2241" s="79"/>
    </row>
    <row r="2242" spans="7:22" x14ac:dyDescent="0.2">
      <c r="G2242" s="79"/>
      <c r="J2242" s="79"/>
      <c r="M2242" s="104"/>
      <c r="P2242" s="79"/>
      <c r="S2242" s="79"/>
      <c r="V2242" s="79"/>
    </row>
    <row r="2243" spans="7:22" x14ac:dyDescent="0.2">
      <c r="G2243" s="79"/>
      <c r="J2243" s="79"/>
      <c r="M2243" s="104"/>
      <c r="P2243" s="79"/>
      <c r="S2243" s="79"/>
      <c r="V2243" s="79"/>
    </row>
    <row r="2244" spans="7:22" x14ac:dyDescent="0.2">
      <c r="G2244" s="79"/>
      <c r="J2244" s="79"/>
      <c r="M2244" s="104"/>
      <c r="P2244" s="79"/>
      <c r="S2244" s="79"/>
      <c r="V2244" s="79"/>
    </row>
    <row r="2245" spans="7:22" x14ac:dyDescent="0.2">
      <c r="G2245" s="79"/>
      <c r="J2245" s="79"/>
      <c r="M2245" s="104"/>
      <c r="P2245" s="79"/>
      <c r="S2245" s="79"/>
      <c r="V2245" s="79"/>
    </row>
    <row r="2246" spans="7:22" x14ac:dyDescent="0.2">
      <c r="G2246" s="79"/>
      <c r="J2246" s="79"/>
      <c r="M2246" s="104"/>
      <c r="P2246" s="79"/>
      <c r="S2246" s="79"/>
      <c r="V2246" s="79"/>
    </row>
    <row r="2247" spans="7:22" x14ac:dyDescent="0.2">
      <c r="G2247" s="79"/>
      <c r="J2247" s="79"/>
      <c r="M2247" s="104"/>
      <c r="P2247" s="79"/>
      <c r="S2247" s="79"/>
      <c r="V2247" s="79"/>
    </row>
    <row r="2248" spans="7:22" x14ac:dyDescent="0.2">
      <c r="G2248" s="79"/>
      <c r="J2248" s="79"/>
      <c r="M2248" s="104"/>
      <c r="P2248" s="79"/>
      <c r="S2248" s="79"/>
      <c r="V2248" s="79"/>
    </row>
    <row r="2249" spans="7:22" x14ac:dyDescent="0.2">
      <c r="G2249" s="79"/>
      <c r="J2249" s="79"/>
      <c r="M2249" s="104"/>
      <c r="P2249" s="79"/>
      <c r="S2249" s="79"/>
      <c r="V2249" s="79"/>
    </row>
    <row r="2250" spans="7:22" x14ac:dyDescent="0.2">
      <c r="G2250" s="79"/>
      <c r="J2250" s="79"/>
      <c r="M2250" s="104"/>
      <c r="P2250" s="79"/>
      <c r="S2250" s="79"/>
      <c r="V2250" s="79"/>
    </row>
    <row r="2251" spans="7:22" x14ac:dyDescent="0.2">
      <c r="G2251" s="79"/>
      <c r="J2251" s="79"/>
      <c r="M2251" s="104"/>
      <c r="P2251" s="79"/>
      <c r="S2251" s="79"/>
      <c r="V2251" s="79"/>
    </row>
    <row r="2252" spans="7:22" x14ac:dyDescent="0.2">
      <c r="G2252" s="79"/>
      <c r="J2252" s="79"/>
      <c r="M2252" s="104"/>
      <c r="P2252" s="79"/>
      <c r="S2252" s="79"/>
      <c r="V2252" s="79"/>
    </row>
    <row r="2253" spans="7:22" x14ac:dyDescent="0.2">
      <c r="G2253" s="79"/>
      <c r="J2253" s="79"/>
      <c r="M2253" s="104"/>
      <c r="P2253" s="79"/>
      <c r="S2253" s="79"/>
      <c r="V2253" s="79"/>
    </row>
    <row r="2254" spans="7:22" x14ac:dyDescent="0.2">
      <c r="G2254" s="79"/>
      <c r="J2254" s="79"/>
      <c r="M2254" s="104"/>
      <c r="P2254" s="79"/>
      <c r="S2254" s="79"/>
      <c r="V2254" s="79"/>
    </row>
    <row r="2255" spans="7:22" x14ac:dyDescent="0.2">
      <c r="G2255" s="79"/>
      <c r="J2255" s="79"/>
      <c r="M2255" s="104"/>
      <c r="P2255" s="79"/>
      <c r="S2255" s="79"/>
      <c r="V2255" s="79"/>
    </row>
    <row r="2256" spans="7:22" x14ac:dyDescent="0.2">
      <c r="G2256" s="79"/>
      <c r="J2256" s="79"/>
      <c r="M2256" s="104"/>
      <c r="P2256" s="79"/>
      <c r="S2256" s="79"/>
      <c r="V2256" s="79"/>
    </row>
    <row r="2257" spans="7:22" x14ac:dyDescent="0.2">
      <c r="G2257" s="79"/>
      <c r="J2257" s="79"/>
      <c r="M2257" s="104"/>
      <c r="P2257" s="79"/>
      <c r="S2257" s="79"/>
      <c r="V2257" s="79"/>
    </row>
    <row r="2258" spans="7:22" x14ac:dyDescent="0.2">
      <c r="G2258" s="79"/>
      <c r="J2258" s="79"/>
      <c r="M2258" s="104"/>
      <c r="P2258" s="79"/>
      <c r="S2258" s="79"/>
      <c r="V2258" s="79"/>
    </row>
    <row r="2259" spans="7:22" x14ac:dyDescent="0.2">
      <c r="G2259" s="79"/>
      <c r="J2259" s="79"/>
      <c r="M2259" s="104"/>
      <c r="P2259" s="79"/>
      <c r="S2259" s="79"/>
      <c r="V2259" s="79"/>
    </row>
    <row r="2260" spans="7:22" x14ac:dyDescent="0.2">
      <c r="G2260" s="79"/>
      <c r="J2260" s="79"/>
      <c r="M2260" s="104"/>
      <c r="P2260" s="79"/>
      <c r="S2260" s="79"/>
      <c r="V2260" s="79"/>
    </row>
    <row r="2261" spans="7:22" x14ac:dyDescent="0.2">
      <c r="G2261" s="79"/>
      <c r="J2261" s="79"/>
      <c r="M2261" s="104"/>
      <c r="P2261" s="79"/>
      <c r="S2261" s="79"/>
      <c r="V2261" s="79"/>
    </row>
    <row r="2262" spans="7:22" x14ac:dyDescent="0.2">
      <c r="G2262" s="79"/>
      <c r="J2262" s="79"/>
      <c r="M2262" s="104"/>
      <c r="P2262" s="79"/>
      <c r="S2262" s="79"/>
      <c r="V2262" s="79"/>
    </row>
    <row r="2263" spans="7:22" x14ac:dyDescent="0.2">
      <c r="G2263" s="79"/>
      <c r="J2263" s="79"/>
      <c r="M2263" s="104"/>
      <c r="P2263" s="79"/>
      <c r="S2263" s="79"/>
      <c r="V2263" s="79"/>
    </row>
    <row r="2264" spans="7:22" x14ac:dyDescent="0.2">
      <c r="G2264" s="79"/>
      <c r="J2264" s="79"/>
      <c r="M2264" s="104"/>
      <c r="P2264" s="79"/>
      <c r="S2264" s="79"/>
      <c r="V2264" s="79"/>
    </row>
    <row r="2265" spans="7:22" x14ac:dyDescent="0.2">
      <c r="G2265" s="79"/>
      <c r="J2265" s="79"/>
      <c r="M2265" s="104"/>
      <c r="P2265" s="79"/>
      <c r="S2265" s="79"/>
      <c r="V2265" s="79"/>
    </row>
    <row r="2266" spans="7:22" x14ac:dyDescent="0.2">
      <c r="G2266" s="79"/>
      <c r="J2266" s="79"/>
      <c r="M2266" s="104"/>
      <c r="P2266" s="79"/>
      <c r="S2266" s="79"/>
      <c r="V2266" s="79"/>
    </row>
    <row r="2267" spans="7:22" x14ac:dyDescent="0.2">
      <c r="G2267" s="79"/>
      <c r="J2267" s="79"/>
      <c r="M2267" s="104"/>
      <c r="P2267" s="79"/>
      <c r="S2267" s="79"/>
      <c r="V2267" s="79"/>
    </row>
    <row r="2268" spans="7:22" x14ac:dyDescent="0.2">
      <c r="G2268" s="79"/>
      <c r="J2268" s="79"/>
      <c r="M2268" s="104"/>
      <c r="P2268" s="79"/>
      <c r="S2268" s="79"/>
      <c r="V2268" s="79"/>
    </row>
    <row r="2269" spans="7:22" x14ac:dyDescent="0.2">
      <c r="G2269" s="79"/>
      <c r="J2269" s="79"/>
      <c r="M2269" s="104"/>
      <c r="P2269" s="79"/>
      <c r="S2269" s="79"/>
      <c r="V2269" s="79"/>
    </row>
    <row r="2270" spans="7:22" x14ac:dyDescent="0.2">
      <c r="G2270" s="79"/>
      <c r="J2270" s="79"/>
      <c r="M2270" s="104"/>
      <c r="P2270" s="79"/>
      <c r="S2270" s="79"/>
      <c r="V2270" s="79"/>
    </row>
    <row r="2271" spans="7:22" x14ac:dyDescent="0.2">
      <c r="G2271" s="79"/>
      <c r="J2271" s="79"/>
      <c r="M2271" s="104"/>
      <c r="P2271" s="79"/>
      <c r="S2271" s="79"/>
      <c r="V2271" s="79"/>
    </row>
    <row r="2272" spans="7:22" x14ac:dyDescent="0.2">
      <c r="G2272" s="79"/>
      <c r="J2272" s="79"/>
      <c r="M2272" s="104"/>
      <c r="P2272" s="79"/>
      <c r="S2272" s="79"/>
      <c r="V2272" s="79"/>
    </row>
    <row r="2273" spans="7:22" x14ac:dyDescent="0.2">
      <c r="G2273" s="79"/>
      <c r="J2273" s="79"/>
      <c r="M2273" s="104"/>
      <c r="P2273" s="79"/>
      <c r="S2273" s="79"/>
      <c r="V2273" s="79"/>
    </row>
    <row r="2274" spans="7:22" x14ac:dyDescent="0.2">
      <c r="G2274" s="79"/>
      <c r="J2274" s="79"/>
      <c r="M2274" s="104"/>
      <c r="P2274" s="79"/>
      <c r="S2274" s="79"/>
      <c r="V2274" s="79"/>
    </row>
    <row r="2275" spans="7:22" x14ac:dyDescent="0.2">
      <c r="G2275" s="79"/>
      <c r="J2275" s="79"/>
      <c r="M2275" s="104"/>
      <c r="P2275" s="79"/>
      <c r="S2275" s="79"/>
      <c r="V2275" s="79"/>
    </row>
    <row r="2276" spans="7:22" x14ac:dyDescent="0.2">
      <c r="G2276" s="79"/>
      <c r="J2276" s="79"/>
      <c r="M2276" s="104"/>
      <c r="P2276" s="79"/>
      <c r="S2276" s="79"/>
      <c r="V2276" s="79"/>
    </row>
    <row r="2277" spans="7:22" x14ac:dyDescent="0.2">
      <c r="G2277" s="79"/>
      <c r="J2277" s="79"/>
      <c r="M2277" s="104"/>
      <c r="P2277" s="79"/>
      <c r="S2277" s="79"/>
      <c r="V2277" s="79"/>
    </row>
    <row r="2278" spans="7:22" x14ac:dyDescent="0.2">
      <c r="G2278" s="79"/>
      <c r="J2278" s="79"/>
      <c r="M2278" s="104"/>
      <c r="P2278" s="79"/>
      <c r="S2278" s="79"/>
      <c r="V2278" s="79"/>
    </row>
    <row r="2279" spans="7:22" x14ac:dyDescent="0.2">
      <c r="G2279" s="79"/>
      <c r="J2279" s="79"/>
      <c r="M2279" s="104"/>
      <c r="P2279" s="79"/>
      <c r="S2279" s="79"/>
      <c r="V2279" s="79"/>
    </row>
    <row r="2280" spans="7:22" x14ac:dyDescent="0.2">
      <c r="G2280" s="79"/>
      <c r="J2280" s="79"/>
      <c r="M2280" s="104"/>
      <c r="P2280" s="79"/>
      <c r="S2280" s="79"/>
      <c r="V2280" s="79"/>
    </row>
    <row r="2281" spans="7:22" x14ac:dyDescent="0.2">
      <c r="G2281" s="79"/>
      <c r="J2281" s="79"/>
      <c r="M2281" s="104"/>
      <c r="P2281" s="79"/>
      <c r="S2281" s="79"/>
      <c r="V2281" s="79"/>
    </row>
    <row r="2282" spans="7:22" x14ac:dyDescent="0.2">
      <c r="G2282" s="79"/>
      <c r="J2282" s="79"/>
      <c r="M2282" s="104"/>
      <c r="P2282" s="79"/>
      <c r="S2282" s="79"/>
      <c r="V2282" s="79"/>
    </row>
    <row r="2283" spans="7:22" x14ac:dyDescent="0.2">
      <c r="G2283" s="79"/>
      <c r="J2283" s="79"/>
      <c r="M2283" s="104"/>
      <c r="P2283" s="79"/>
      <c r="S2283" s="79"/>
      <c r="V2283" s="79"/>
    </row>
    <row r="2284" spans="7:22" x14ac:dyDescent="0.2">
      <c r="G2284" s="79"/>
      <c r="J2284" s="79"/>
      <c r="M2284" s="104"/>
      <c r="P2284" s="79"/>
      <c r="S2284" s="79"/>
      <c r="V2284" s="79"/>
    </row>
    <row r="2285" spans="7:22" x14ac:dyDescent="0.2">
      <c r="G2285" s="79"/>
      <c r="J2285" s="79"/>
      <c r="M2285" s="104"/>
      <c r="P2285" s="79"/>
      <c r="S2285" s="79"/>
      <c r="V2285" s="79"/>
    </row>
    <row r="2286" spans="7:22" x14ac:dyDescent="0.2">
      <c r="G2286" s="79"/>
      <c r="J2286" s="79"/>
      <c r="M2286" s="104"/>
      <c r="P2286" s="79"/>
      <c r="S2286" s="79"/>
      <c r="V2286" s="79"/>
    </row>
    <row r="2287" spans="7:22" x14ac:dyDescent="0.2">
      <c r="G2287" s="79"/>
      <c r="J2287" s="79"/>
      <c r="M2287" s="104"/>
      <c r="P2287" s="79"/>
      <c r="S2287" s="79"/>
      <c r="V2287" s="79"/>
    </row>
    <row r="2288" spans="7:22" x14ac:dyDescent="0.2">
      <c r="G2288" s="79"/>
      <c r="J2288" s="79"/>
      <c r="M2288" s="104"/>
      <c r="P2288" s="79"/>
      <c r="S2288" s="79"/>
      <c r="V2288" s="79"/>
    </row>
    <row r="2289" spans="7:22" x14ac:dyDescent="0.2">
      <c r="G2289" s="79"/>
      <c r="J2289" s="79"/>
      <c r="M2289" s="104"/>
      <c r="P2289" s="79"/>
      <c r="S2289" s="79"/>
      <c r="V2289" s="79"/>
    </row>
    <row r="2290" spans="7:22" x14ac:dyDescent="0.2">
      <c r="G2290" s="79"/>
      <c r="J2290" s="79"/>
      <c r="M2290" s="104"/>
      <c r="P2290" s="79"/>
      <c r="S2290" s="79"/>
      <c r="V2290" s="79"/>
    </row>
    <row r="2291" spans="7:22" x14ac:dyDescent="0.2">
      <c r="G2291" s="79"/>
      <c r="J2291" s="79"/>
      <c r="M2291" s="104"/>
      <c r="P2291" s="79"/>
      <c r="S2291" s="79"/>
      <c r="V2291" s="79"/>
    </row>
    <row r="2292" spans="7:22" x14ac:dyDescent="0.2">
      <c r="G2292" s="79"/>
      <c r="J2292" s="79"/>
      <c r="M2292" s="104"/>
      <c r="P2292" s="79"/>
      <c r="S2292" s="79"/>
      <c r="V2292" s="79"/>
    </row>
    <row r="2293" spans="7:22" x14ac:dyDescent="0.2">
      <c r="G2293" s="79"/>
      <c r="J2293" s="79"/>
      <c r="M2293" s="104"/>
      <c r="P2293" s="79"/>
      <c r="S2293" s="79"/>
      <c r="V2293" s="79"/>
    </row>
    <row r="2294" spans="7:22" x14ac:dyDescent="0.2">
      <c r="G2294" s="79"/>
      <c r="J2294" s="79"/>
      <c r="M2294" s="104"/>
      <c r="P2294" s="79"/>
      <c r="S2294" s="79"/>
      <c r="V2294" s="79"/>
    </row>
    <row r="2295" spans="7:22" x14ac:dyDescent="0.2">
      <c r="G2295" s="79"/>
      <c r="J2295" s="79"/>
      <c r="M2295" s="104"/>
      <c r="P2295" s="79"/>
      <c r="S2295" s="79"/>
      <c r="V2295" s="79"/>
    </row>
    <row r="2296" spans="7:22" x14ac:dyDescent="0.2">
      <c r="G2296" s="79"/>
      <c r="J2296" s="79"/>
      <c r="M2296" s="104"/>
      <c r="P2296" s="79"/>
      <c r="S2296" s="79"/>
      <c r="V2296" s="79"/>
    </row>
    <row r="2297" spans="7:22" x14ac:dyDescent="0.2">
      <c r="G2297" s="79"/>
      <c r="J2297" s="79"/>
      <c r="M2297" s="104"/>
      <c r="P2297" s="79"/>
      <c r="S2297" s="79"/>
      <c r="V2297" s="79"/>
    </row>
    <row r="2298" spans="7:22" x14ac:dyDescent="0.2">
      <c r="G2298" s="79"/>
      <c r="J2298" s="79"/>
      <c r="M2298" s="104"/>
      <c r="P2298" s="79"/>
      <c r="S2298" s="79"/>
      <c r="V2298" s="79"/>
    </row>
    <row r="2299" spans="7:22" x14ac:dyDescent="0.2">
      <c r="G2299" s="79"/>
      <c r="J2299" s="79"/>
      <c r="M2299" s="104"/>
      <c r="P2299" s="79"/>
      <c r="S2299" s="79"/>
      <c r="V2299" s="79"/>
    </row>
    <row r="2300" spans="7:22" x14ac:dyDescent="0.2">
      <c r="G2300" s="79"/>
      <c r="J2300" s="79"/>
      <c r="M2300" s="104"/>
      <c r="P2300" s="79"/>
      <c r="S2300" s="79"/>
      <c r="V2300" s="79"/>
    </row>
    <row r="2301" spans="7:22" x14ac:dyDescent="0.2">
      <c r="G2301" s="79"/>
      <c r="J2301" s="79"/>
      <c r="M2301" s="104"/>
      <c r="P2301" s="79"/>
      <c r="S2301" s="79"/>
      <c r="V2301" s="79"/>
    </row>
    <row r="2302" spans="7:22" x14ac:dyDescent="0.2">
      <c r="G2302" s="79"/>
      <c r="J2302" s="79"/>
      <c r="M2302" s="104"/>
      <c r="P2302" s="79"/>
      <c r="S2302" s="79"/>
      <c r="V2302" s="79"/>
    </row>
    <row r="2303" spans="7:22" x14ac:dyDescent="0.2">
      <c r="G2303" s="79"/>
      <c r="J2303" s="79"/>
      <c r="M2303" s="104"/>
      <c r="P2303" s="79"/>
      <c r="S2303" s="79"/>
      <c r="V2303" s="79"/>
    </row>
    <row r="2304" spans="7:22" x14ac:dyDescent="0.2">
      <c r="G2304" s="79"/>
      <c r="J2304" s="79"/>
      <c r="M2304" s="104"/>
      <c r="P2304" s="79"/>
      <c r="S2304" s="79"/>
      <c r="V2304" s="79"/>
    </row>
    <row r="2305" spans="7:22" x14ac:dyDescent="0.2">
      <c r="G2305" s="79"/>
      <c r="J2305" s="79"/>
      <c r="M2305" s="104"/>
      <c r="P2305" s="79"/>
      <c r="S2305" s="79"/>
      <c r="V2305" s="79"/>
    </row>
    <row r="2306" spans="7:22" x14ac:dyDescent="0.2">
      <c r="G2306" s="79"/>
      <c r="J2306" s="79"/>
      <c r="M2306" s="104"/>
      <c r="P2306" s="79"/>
      <c r="S2306" s="79"/>
      <c r="V2306" s="79"/>
    </row>
    <row r="2307" spans="7:22" x14ac:dyDescent="0.2">
      <c r="G2307" s="79"/>
      <c r="J2307" s="79"/>
      <c r="M2307" s="104"/>
      <c r="P2307" s="79"/>
      <c r="S2307" s="79"/>
      <c r="V2307" s="79"/>
    </row>
    <row r="2308" spans="7:22" x14ac:dyDescent="0.2">
      <c r="G2308" s="79"/>
      <c r="J2308" s="79"/>
      <c r="M2308" s="104"/>
      <c r="P2308" s="79"/>
      <c r="S2308" s="79"/>
      <c r="V2308" s="79"/>
    </row>
    <row r="2309" spans="7:22" x14ac:dyDescent="0.2">
      <c r="G2309" s="79"/>
      <c r="J2309" s="79"/>
      <c r="M2309" s="104"/>
      <c r="P2309" s="79"/>
      <c r="S2309" s="79"/>
      <c r="V2309" s="79"/>
    </row>
    <row r="2310" spans="7:22" x14ac:dyDescent="0.2">
      <c r="G2310" s="79"/>
      <c r="J2310" s="79"/>
      <c r="M2310" s="104"/>
      <c r="P2310" s="79"/>
      <c r="S2310" s="79"/>
      <c r="V2310" s="79"/>
    </row>
    <row r="2311" spans="7:22" x14ac:dyDescent="0.2">
      <c r="G2311" s="79"/>
      <c r="J2311" s="79"/>
      <c r="M2311" s="104"/>
      <c r="P2311" s="79"/>
      <c r="S2311" s="79"/>
      <c r="V2311" s="79"/>
    </row>
    <row r="2312" spans="7:22" x14ac:dyDescent="0.2">
      <c r="G2312" s="79"/>
      <c r="J2312" s="79"/>
      <c r="M2312" s="104"/>
      <c r="P2312" s="79"/>
      <c r="S2312" s="79"/>
      <c r="V2312" s="79"/>
    </row>
    <row r="2313" spans="7:22" x14ac:dyDescent="0.2">
      <c r="G2313" s="79"/>
      <c r="J2313" s="79"/>
      <c r="M2313" s="104"/>
      <c r="P2313" s="79"/>
      <c r="S2313" s="79"/>
      <c r="V2313" s="79"/>
    </row>
    <row r="2314" spans="7:22" x14ac:dyDescent="0.2">
      <c r="G2314" s="79"/>
      <c r="J2314" s="79"/>
      <c r="M2314" s="104"/>
      <c r="P2314" s="79"/>
      <c r="S2314" s="79"/>
      <c r="V2314" s="79"/>
    </row>
    <row r="2315" spans="7:22" x14ac:dyDescent="0.2">
      <c r="G2315" s="79"/>
      <c r="J2315" s="79"/>
      <c r="M2315" s="104"/>
      <c r="P2315" s="79"/>
      <c r="S2315" s="79"/>
      <c r="V2315" s="79"/>
    </row>
    <row r="2316" spans="7:22" x14ac:dyDescent="0.2">
      <c r="G2316" s="79"/>
      <c r="J2316" s="79"/>
      <c r="M2316" s="104"/>
      <c r="P2316" s="79"/>
      <c r="S2316" s="79"/>
      <c r="V2316" s="79"/>
    </row>
    <row r="2317" spans="7:22" x14ac:dyDescent="0.2">
      <c r="G2317" s="79"/>
      <c r="J2317" s="79"/>
      <c r="M2317" s="104"/>
      <c r="P2317" s="79"/>
      <c r="S2317" s="79"/>
      <c r="V2317" s="79"/>
    </row>
    <row r="2318" spans="7:22" x14ac:dyDescent="0.2">
      <c r="G2318" s="79"/>
      <c r="J2318" s="79"/>
      <c r="M2318" s="104"/>
      <c r="P2318" s="79"/>
      <c r="S2318" s="79"/>
      <c r="V2318" s="79"/>
    </row>
    <row r="2319" spans="7:22" x14ac:dyDescent="0.2">
      <c r="G2319" s="79"/>
      <c r="J2319" s="79"/>
      <c r="M2319" s="104"/>
      <c r="P2319" s="79"/>
      <c r="S2319" s="79"/>
      <c r="V2319" s="79"/>
    </row>
    <row r="2320" spans="7:22" x14ac:dyDescent="0.2">
      <c r="G2320" s="79"/>
      <c r="J2320" s="79"/>
      <c r="M2320" s="104"/>
      <c r="P2320" s="79"/>
      <c r="S2320" s="79"/>
      <c r="V2320" s="79"/>
    </row>
    <row r="2321" spans="7:22" x14ac:dyDescent="0.2">
      <c r="G2321" s="79"/>
      <c r="J2321" s="79"/>
      <c r="M2321" s="104"/>
      <c r="P2321" s="79"/>
      <c r="S2321" s="79"/>
      <c r="V2321" s="79"/>
    </row>
    <row r="2322" spans="7:22" x14ac:dyDescent="0.2">
      <c r="G2322" s="79"/>
      <c r="J2322" s="79"/>
      <c r="M2322" s="104"/>
      <c r="P2322" s="79"/>
      <c r="S2322" s="79"/>
      <c r="V2322" s="79"/>
    </row>
    <row r="2323" spans="7:22" x14ac:dyDescent="0.2">
      <c r="G2323" s="79"/>
      <c r="J2323" s="79"/>
      <c r="M2323" s="104"/>
      <c r="P2323" s="79"/>
      <c r="S2323" s="79"/>
      <c r="V2323" s="79"/>
    </row>
    <row r="2324" spans="7:22" x14ac:dyDescent="0.2">
      <c r="G2324" s="79"/>
      <c r="J2324" s="79"/>
      <c r="M2324" s="104"/>
      <c r="P2324" s="79"/>
      <c r="S2324" s="79"/>
      <c r="V2324" s="79"/>
    </row>
    <row r="2325" spans="7:22" x14ac:dyDescent="0.2">
      <c r="G2325" s="79"/>
      <c r="J2325" s="79"/>
      <c r="M2325" s="104"/>
      <c r="P2325" s="79"/>
      <c r="S2325" s="79"/>
      <c r="V2325" s="79"/>
    </row>
    <row r="2326" spans="7:22" x14ac:dyDescent="0.2">
      <c r="G2326" s="79"/>
      <c r="J2326" s="79"/>
      <c r="M2326" s="104"/>
      <c r="P2326" s="79"/>
      <c r="S2326" s="79"/>
      <c r="V2326" s="79"/>
    </row>
    <row r="2327" spans="7:22" x14ac:dyDescent="0.2">
      <c r="G2327" s="79"/>
      <c r="J2327" s="79"/>
      <c r="M2327" s="104"/>
      <c r="P2327" s="79"/>
      <c r="S2327" s="79"/>
      <c r="V2327" s="79"/>
    </row>
    <row r="2328" spans="7:22" x14ac:dyDescent="0.2">
      <c r="G2328" s="79"/>
      <c r="J2328" s="79"/>
      <c r="M2328" s="104"/>
      <c r="P2328" s="79"/>
      <c r="S2328" s="79"/>
      <c r="V2328" s="79"/>
    </row>
    <row r="2329" spans="7:22" x14ac:dyDescent="0.2">
      <c r="G2329" s="79"/>
      <c r="J2329" s="79"/>
      <c r="M2329" s="104"/>
      <c r="P2329" s="79"/>
      <c r="S2329" s="79"/>
      <c r="V2329" s="79"/>
    </row>
    <row r="2330" spans="7:22" x14ac:dyDescent="0.2">
      <c r="G2330" s="79"/>
      <c r="J2330" s="79"/>
      <c r="M2330" s="104"/>
      <c r="P2330" s="79"/>
      <c r="S2330" s="79"/>
      <c r="V2330" s="79"/>
    </row>
    <row r="2331" spans="7:22" x14ac:dyDescent="0.2">
      <c r="G2331" s="79"/>
      <c r="J2331" s="79"/>
      <c r="M2331" s="104"/>
      <c r="P2331" s="79"/>
      <c r="S2331" s="79"/>
      <c r="V2331" s="79"/>
    </row>
    <row r="2332" spans="7:22" x14ac:dyDescent="0.2">
      <c r="G2332" s="79"/>
      <c r="J2332" s="79"/>
      <c r="M2332" s="104"/>
      <c r="P2332" s="79"/>
      <c r="S2332" s="79"/>
      <c r="V2332" s="79"/>
    </row>
    <row r="2333" spans="7:22" x14ac:dyDescent="0.2">
      <c r="G2333" s="79"/>
      <c r="J2333" s="79"/>
      <c r="M2333" s="104"/>
      <c r="P2333" s="79"/>
      <c r="S2333" s="79"/>
      <c r="V2333" s="79"/>
    </row>
    <row r="2334" spans="7:22" x14ac:dyDescent="0.2">
      <c r="G2334" s="79"/>
      <c r="J2334" s="79"/>
      <c r="M2334" s="104"/>
      <c r="P2334" s="79"/>
      <c r="S2334" s="79"/>
      <c r="V2334" s="79"/>
    </row>
    <row r="2335" spans="7:22" x14ac:dyDescent="0.2">
      <c r="G2335" s="79"/>
      <c r="J2335" s="79"/>
      <c r="M2335" s="104"/>
      <c r="P2335" s="79"/>
      <c r="S2335" s="79"/>
      <c r="V2335" s="79"/>
    </row>
    <row r="2336" spans="7:22" x14ac:dyDescent="0.2">
      <c r="G2336" s="79"/>
      <c r="J2336" s="79"/>
      <c r="M2336" s="104"/>
      <c r="P2336" s="79"/>
      <c r="S2336" s="79"/>
      <c r="V2336" s="79"/>
    </row>
    <row r="2337" spans="7:22" x14ac:dyDescent="0.2">
      <c r="G2337" s="79"/>
      <c r="J2337" s="79"/>
      <c r="M2337" s="104"/>
      <c r="P2337" s="79"/>
      <c r="S2337" s="79"/>
      <c r="V2337" s="79"/>
    </row>
    <row r="2338" spans="7:22" x14ac:dyDescent="0.2">
      <c r="G2338" s="79"/>
      <c r="J2338" s="79"/>
      <c r="M2338" s="104"/>
      <c r="P2338" s="79"/>
      <c r="S2338" s="79"/>
      <c r="V2338" s="79"/>
    </row>
    <row r="2339" spans="7:22" x14ac:dyDescent="0.2">
      <c r="G2339" s="79"/>
      <c r="J2339" s="79"/>
      <c r="M2339" s="104"/>
      <c r="P2339" s="79"/>
      <c r="S2339" s="79"/>
      <c r="V2339" s="79"/>
    </row>
    <row r="2340" spans="7:22" x14ac:dyDescent="0.2">
      <c r="G2340" s="79"/>
      <c r="J2340" s="79"/>
      <c r="M2340" s="104"/>
      <c r="P2340" s="79"/>
      <c r="S2340" s="79"/>
      <c r="V2340" s="79"/>
    </row>
    <row r="2341" spans="7:22" x14ac:dyDescent="0.2">
      <c r="G2341" s="79"/>
      <c r="J2341" s="79"/>
      <c r="M2341" s="104"/>
      <c r="P2341" s="79"/>
      <c r="S2341" s="79"/>
      <c r="V2341" s="79"/>
    </row>
    <row r="2342" spans="7:22" x14ac:dyDescent="0.2">
      <c r="G2342" s="79"/>
      <c r="J2342" s="79"/>
      <c r="M2342" s="104"/>
      <c r="P2342" s="79"/>
      <c r="S2342" s="79"/>
      <c r="V2342" s="79"/>
    </row>
    <row r="2343" spans="7:22" x14ac:dyDescent="0.2">
      <c r="G2343" s="79"/>
      <c r="J2343" s="79"/>
      <c r="M2343" s="104"/>
      <c r="P2343" s="79"/>
      <c r="S2343" s="79"/>
      <c r="V2343" s="79"/>
    </row>
    <row r="2344" spans="7:22" x14ac:dyDescent="0.2">
      <c r="G2344" s="79"/>
      <c r="J2344" s="79"/>
      <c r="M2344" s="104"/>
      <c r="P2344" s="79"/>
      <c r="S2344" s="79"/>
      <c r="V2344" s="79"/>
    </row>
    <row r="2345" spans="7:22" x14ac:dyDescent="0.2">
      <c r="G2345" s="79"/>
      <c r="J2345" s="79"/>
      <c r="M2345" s="104"/>
      <c r="P2345" s="79"/>
      <c r="S2345" s="79"/>
      <c r="V2345" s="79"/>
    </row>
    <row r="2346" spans="7:22" x14ac:dyDescent="0.2">
      <c r="G2346" s="79"/>
      <c r="J2346" s="79"/>
      <c r="M2346" s="104"/>
      <c r="P2346" s="79"/>
      <c r="S2346" s="79"/>
      <c r="V2346" s="79"/>
    </row>
    <row r="2347" spans="7:22" x14ac:dyDescent="0.2">
      <c r="G2347" s="79"/>
      <c r="J2347" s="79"/>
      <c r="M2347" s="104"/>
      <c r="P2347" s="79"/>
      <c r="S2347" s="79"/>
      <c r="V2347" s="79"/>
    </row>
    <row r="2348" spans="7:22" x14ac:dyDescent="0.2">
      <c r="G2348" s="79"/>
      <c r="J2348" s="79"/>
      <c r="M2348" s="104"/>
      <c r="P2348" s="79"/>
      <c r="S2348" s="79"/>
      <c r="V2348" s="79"/>
    </row>
    <row r="2349" spans="7:22" x14ac:dyDescent="0.2">
      <c r="G2349" s="79"/>
      <c r="J2349" s="79"/>
      <c r="M2349" s="104"/>
      <c r="P2349" s="79"/>
      <c r="S2349" s="79"/>
      <c r="V2349" s="79"/>
    </row>
    <row r="2350" spans="7:22" x14ac:dyDescent="0.2">
      <c r="G2350" s="79"/>
      <c r="J2350" s="79"/>
      <c r="M2350" s="104"/>
      <c r="P2350" s="79"/>
      <c r="S2350" s="79"/>
      <c r="V2350" s="79"/>
    </row>
    <row r="2351" spans="7:22" x14ac:dyDescent="0.2">
      <c r="G2351" s="79"/>
      <c r="J2351" s="79"/>
      <c r="M2351" s="104"/>
      <c r="P2351" s="79"/>
      <c r="S2351" s="79"/>
      <c r="V2351" s="79"/>
    </row>
    <row r="2352" spans="7:22" x14ac:dyDescent="0.2">
      <c r="G2352" s="79"/>
      <c r="J2352" s="79"/>
      <c r="M2352" s="104"/>
      <c r="P2352" s="79"/>
      <c r="S2352" s="79"/>
      <c r="V2352" s="79"/>
    </row>
    <row r="2353" spans="7:22" x14ac:dyDescent="0.2">
      <c r="G2353" s="79"/>
      <c r="J2353" s="79"/>
      <c r="M2353" s="104"/>
      <c r="P2353" s="79"/>
      <c r="S2353" s="79"/>
      <c r="V2353" s="79"/>
    </row>
    <row r="2354" spans="7:22" x14ac:dyDescent="0.2">
      <c r="G2354" s="79"/>
      <c r="J2354" s="79"/>
      <c r="M2354" s="104"/>
      <c r="P2354" s="79"/>
      <c r="S2354" s="79"/>
      <c r="V2354" s="79"/>
    </row>
    <row r="2355" spans="7:22" x14ac:dyDescent="0.2">
      <c r="G2355" s="79"/>
      <c r="J2355" s="79"/>
      <c r="M2355" s="104"/>
      <c r="P2355" s="79"/>
      <c r="S2355" s="79"/>
      <c r="V2355" s="79"/>
    </row>
    <row r="2356" spans="7:22" x14ac:dyDescent="0.2">
      <c r="G2356" s="79"/>
      <c r="J2356" s="79"/>
      <c r="M2356" s="104"/>
      <c r="P2356" s="79"/>
      <c r="S2356" s="79"/>
      <c r="V2356" s="79"/>
    </row>
    <row r="2357" spans="7:22" x14ac:dyDescent="0.2">
      <c r="G2357" s="79"/>
      <c r="J2357" s="79"/>
      <c r="M2357" s="104"/>
      <c r="P2357" s="79"/>
      <c r="S2357" s="79"/>
      <c r="V2357" s="79"/>
    </row>
    <row r="2358" spans="7:22" x14ac:dyDescent="0.2">
      <c r="G2358" s="79"/>
      <c r="J2358" s="79"/>
      <c r="M2358" s="104"/>
      <c r="P2358" s="79"/>
      <c r="S2358" s="79"/>
      <c r="V2358" s="79"/>
    </row>
    <row r="2359" spans="7:22" x14ac:dyDescent="0.2">
      <c r="G2359" s="79"/>
      <c r="J2359" s="79"/>
      <c r="M2359" s="104"/>
      <c r="P2359" s="79"/>
      <c r="S2359" s="79"/>
      <c r="V2359" s="79"/>
    </row>
    <row r="2360" spans="7:22" x14ac:dyDescent="0.2">
      <c r="G2360" s="79"/>
      <c r="J2360" s="79"/>
      <c r="M2360" s="104"/>
      <c r="P2360" s="79"/>
      <c r="S2360" s="79"/>
      <c r="V2360" s="79"/>
    </row>
    <row r="2361" spans="7:22" x14ac:dyDescent="0.2">
      <c r="G2361" s="79"/>
      <c r="J2361" s="79"/>
      <c r="M2361" s="104"/>
      <c r="P2361" s="79"/>
      <c r="S2361" s="79"/>
      <c r="V2361" s="79"/>
    </row>
    <row r="2362" spans="7:22" x14ac:dyDescent="0.2">
      <c r="G2362" s="79"/>
      <c r="J2362" s="79"/>
      <c r="M2362" s="104"/>
      <c r="P2362" s="79"/>
      <c r="S2362" s="79"/>
      <c r="V2362" s="79"/>
    </row>
    <row r="2363" spans="7:22" x14ac:dyDescent="0.2">
      <c r="G2363" s="79"/>
      <c r="J2363" s="79"/>
      <c r="M2363" s="104"/>
      <c r="P2363" s="79"/>
      <c r="S2363" s="79"/>
      <c r="V2363" s="79"/>
    </row>
    <row r="2364" spans="7:22" x14ac:dyDescent="0.2">
      <c r="G2364" s="79"/>
      <c r="J2364" s="79"/>
      <c r="M2364" s="104"/>
      <c r="P2364" s="79"/>
      <c r="S2364" s="79"/>
      <c r="V2364" s="79"/>
    </row>
    <row r="2365" spans="7:22" x14ac:dyDescent="0.2">
      <c r="G2365" s="79"/>
      <c r="J2365" s="79"/>
      <c r="M2365" s="104"/>
      <c r="P2365" s="79"/>
      <c r="S2365" s="79"/>
      <c r="V2365" s="79"/>
    </row>
    <row r="2366" spans="7:22" x14ac:dyDescent="0.2">
      <c r="G2366" s="79"/>
      <c r="J2366" s="79"/>
      <c r="M2366" s="104"/>
      <c r="P2366" s="79"/>
      <c r="S2366" s="79"/>
      <c r="V2366" s="79"/>
    </row>
    <row r="2367" spans="7:22" x14ac:dyDescent="0.2">
      <c r="G2367" s="79"/>
      <c r="J2367" s="79"/>
      <c r="M2367" s="104"/>
      <c r="P2367" s="79"/>
      <c r="S2367" s="79"/>
      <c r="V2367" s="79"/>
    </row>
    <row r="2368" spans="7:22" x14ac:dyDescent="0.2">
      <c r="G2368" s="79"/>
      <c r="J2368" s="79"/>
      <c r="M2368" s="104"/>
      <c r="P2368" s="79"/>
      <c r="S2368" s="79"/>
      <c r="V2368" s="79"/>
    </row>
    <row r="2369" spans="7:22" x14ac:dyDescent="0.2">
      <c r="G2369" s="79"/>
      <c r="J2369" s="79"/>
      <c r="M2369" s="104"/>
      <c r="P2369" s="79"/>
      <c r="S2369" s="79"/>
      <c r="V2369" s="79"/>
    </row>
    <row r="2370" spans="7:22" x14ac:dyDescent="0.2">
      <c r="G2370" s="79"/>
      <c r="J2370" s="79"/>
      <c r="M2370" s="104"/>
      <c r="P2370" s="79"/>
      <c r="S2370" s="79"/>
      <c r="V2370" s="79"/>
    </row>
    <row r="2371" spans="7:22" x14ac:dyDescent="0.2">
      <c r="G2371" s="79"/>
      <c r="J2371" s="79"/>
      <c r="M2371" s="104"/>
      <c r="P2371" s="79"/>
      <c r="S2371" s="79"/>
      <c r="V2371" s="79"/>
    </row>
    <row r="2372" spans="7:22" x14ac:dyDescent="0.2">
      <c r="G2372" s="79"/>
      <c r="J2372" s="79"/>
      <c r="M2372" s="104"/>
      <c r="P2372" s="79"/>
      <c r="S2372" s="79"/>
      <c r="V2372" s="79"/>
    </row>
    <row r="2373" spans="7:22" x14ac:dyDescent="0.2">
      <c r="G2373" s="79"/>
      <c r="J2373" s="79"/>
      <c r="M2373" s="104"/>
      <c r="P2373" s="79"/>
      <c r="S2373" s="79"/>
      <c r="V2373" s="79"/>
    </row>
    <row r="2374" spans="7:22" x14ac:dyDescent="0.2">
      <c r="G2374" s="79"/>
      <c r="J2374" s="79"/>
      <c r="M2374" s="104"/>
      <c r="P2374" s="79"/>
      <c r="S2374" s="79"/>
      <c r="V2374" s="79"/>
    </row>
    <row r="2375" spans="7:22" x14ac:dyDescent="0.2">
      <c r="G2375" s="79"/>
      <c r="J2375" s="79"/>
      <c r="M2375" s="104"/>
      <c r="P2375" s="79"/>
      <c r="S2375" s="79"/>
      <c r="V2375" s="79"/>
    </row>
    <row r="2376" spans="7:22" x14ac:dyDescent="0.2">
      <c r="G2376" s="79"/>
      <c r="J2376" s="79"/>
      <c r="M2376" s="104"/>
      <c r="P2376" s="79"/>
      <c r="S2376" s="79"/>
      <c r="V2376" s="79"/>
    </row>
    <row r="2377" spans="7:22" x14ac:dyDescent="0.2">
      <c r="G2377" s="79"/>
      <c r="J2377" s="79"/>
      <c r="M2377" s="104"/>
      <c r="P2377" s="79"/>
      <c r="S2377" s="79"/>
      <c r="V2377" s="79"/>
    </row>
    <row r="2378" spans="7:22" x14ac:dyDescent="0.2">
      <c r="G2378" s="79"/>
      <c r="J2378" s="79"/>
      <c r="M2378" s="104"/>
      <c r="P2378" s="79"/>
      <c r="S2378" s="79"/>
      <c r="V2378" s="79"/>
    </row>
    <row r="2379" spans="7:22" x14ac:dyDescent="0.2">
      <c r="G2379" s="79"/>
      <c r="J2379" s="79"/>
      <c r="M2379" s="104"/>
      <c r="P2379" s="79"/>
      <c r="S2379" s="79"/>
      <c r="V2379" s="79"/>
    </row>
    <row r="2380" spans="7:22" x14ac:dyDescent="0.2">
      <c r="G2380" s="79"/>
      <c r="J2380" s="79"/>
      <c r="M2380" s="104"/>
      <c r="P2380" s="79"/>
      <c r="S2380" s="79"/>
      <c r="V2380" s="79"/>
    </row>
    <row r="2381" spans="7:22" x14ac:dyDescent="0.2">
      <c r="G2381" s="79"/>
      <c r="J2381" s="79"/>
      <c r="M2381" s="104"/>
      <c r="P2381" s="79"/>
      <c r="S2381" s="79"/>
      <c r="V2381" s="79"/>
    </row>
    <row r="2382" spans="7:22" x14ac:dyDescent="0.2">
      <c r="G2382" s="79"/>
      <c r="J2382" s="79"/>
      <c r="M2382" s="104"/>
      <c r="P2382" s="79"/>
      <c r="S2382" s="79"/>
      <c r="V2382" s="79"/>
    </row>
    <row r="2383" spans="7:22" x14ac:dyDescent="0.2">
      <c r="G2383" s="79"/>
      <c r="J2383" s="79"/>
      <c r="M2383" s="104"/>
      <c r="P2383" s="79"/>
      <c r="S2383" s="79"/>
      <c r="V2383" s="79"/>
    </row>
    <row r="2384" spans="7:22" x14ac:dyDescent="0.2">
      <c r="G2384" s="79"/>
      <c r="J2384" s="79"/>
      <c r="M2384" s="104"/>
      <c r="P2384" s="79"/>
      <c r="S2384" s="79"/>
      <c r="V2384" s="79"/>
    </row>
    <row r="2385" spans="7:22" x14ac:dyDescent="0.2">
      <c r="G2385" s="79"/>
      <c r="J2385" s="79"/>
      <c r="M2385" s="104"/>
      <c r="P2385" s="79"/>
      <c r="S2385" s="79"/>
      <c r="V2385" s="79"/>
    </row>
    <row r="2386" spans="7:22" x14ac:dyDescent="0.2">
      <c r="G2386" s="79"/>
      <c r="J2386" s="79"/>
      <c r="M2386" s="104"/>
      <c r="P2386" s="79"/>
      <c r="S2386" s="79"/>
      <c r="V2386" s="79"/>
    </row>
    <row r="2387" spans="7:22" x14ac:dyDescent="0.2">
      <c r="G2387" s="79"/>
      <c r="J2387" s="79"/>
      <c r="M2387" s="104"/>
      <c r="P2387" s="79"/>
      <c r="S2387" s="79"/>
      <c r="V2387" s="79"/>
    </row>
    <row r="2388" spans="7:22" x14ac:dyDescent="0.2">
      <c r="G2388" s="79"/>
      <c r="J2388" s="79"/>
      <c r="M2388" s="104"/>
      <c r="P2388" s="79"/>
      <c r="S2388" s="79"/>
      <c r="V2388" s="79"/>
    </row>
    <row r="2389" spans="7:22" x14ac:dyDescent="0.2">
      <c r="G2389" s="79"/>
      <c r="J2389" s="79"/>
      <c r="M2389" s="104"/>
      <c r="P2389" s="79"/>
      <c r="S2389" s="79"/>
      <c r="V2389" s="79"/>
    </row>
    <row r="2390" spans="7:22" x14ac:dyDescent="0.2">
      <c r="G2390" s="79"/>
      <c r="J2390" s="79"/>
      <c r="M2390" s="104"/>
      <c r="P2390" s="79"/>
      <c r="S2390" s="79"/>
      <c r="V2390" s="79"/>
    </row>
    <row r="2391" spans="7:22" x14ac:dyDescent="0.2">
      <c r="G2391" s="79"/>
      <c r="J2391" s="79"/>
      <c r="M2391" s="104"/>
      <c r="P2391" s="79"/>
      <c r="S2391" s="79"/>
      <c r="V2391" s="79"/>
    </row>
    <row r="2392" spans="7:22" x14ac:dyDescent="0.2">
      <c r="G2392" s="79"/>
      <c r="J2392" s="79"/>
      <c r="M2392" s="104"/>
      <c r="P2392" s="79"/>
      <c r="S2392" s="79"/>
      <c r="V2392" s="79"/>
    </row>
    <row r="2393" spans="7:22" x14ac:dyDescent="0.2">
      <c r="G2393" s="79"/>
      <c r="J2393" s="79"/>
      <c r="M2393" s="104"/>
      <c r="P2393" s="79"/>
      <c r="S2393" s="79"/>
      <c r="V2393" s="79"/>
    </row>
    <row r="2394" spans="7:22" x14ac:dyDescent="0.2">
      <c r="G2394" s="79"/>
      <c r="J2394" s="79"/>
      <c r="M2394" s="104"/>
      <c r="P2394" s="79"/>
      <c r="S2394" s="79"/>
      <c r="V2394" s="79"/>
    </row>
    <row r="2395" spans="7:22" x14ac:dyDescent="0.2">
      <c r="G2395" s="79"/>
      <c r="J2395" s="79"/>
      <c r="M2395" s="104"/>
      <c r="P2395" s="79"/>
      <c r="S2395" s="79"/>
      <c r="V2395" s="79"/>
    </row>
    <row r="2396" spans="7:22" x14ac:dyDescent="0.2">
      <c r="G2396" s="79"/>
      <c r="J2396" s="79"/>
      <c r="M2396" s="104"/>
      <c r="P2396" s="79"/>
      <c r="S2396" s="79"/>
      <c r="V2396" s="79"/>
    </row>
    <row r="2397" spans="7:22" x14ac:dyDescent="0.2">
      <c r="G2397" s="79"/>
      <c r="J2397" s="79"/>
      <c r="M2397" s="104"/>
      <c r="P2397" s="79"/>
      <c r="S2397" s="79"/>
      <c r="V2397" s="79"/>
    </row>
    <row r="2398" spans="7:22" x14ac:dyDescent="0.2">
      <c r="G2398" s="79"/>
      <c r="J2398" s="79"/>
      <c r="M2398" s="104"/>
      <c r="P2398" s="79"/>
      <c r="S2398" s="79"/>
      <c r="V2398" s="79"/>
    </row>
    <row r="2399" spans="7:22" x14ac:dyDescent="0.2">
      <c r="G2399" s="79"/>
      <c r="J2399" s="79"/>
      <c r="M2399" s="104"/>
      <c r="P2399" s="79"/>
      <c r="S2399" s="79"/>
      <c r="V2399" s="79"/>
    </row>
    <row r="2400" spans="7:22" x14ac:dyDescent="0.2">
      <c r="G2400" s="79"/>
      <c r="J2400" s="79"/>
      <c r="M2400" s="104"/>
      <c r="P2400" s="79"/>
      <c r="S2400" s="79"/>
      <c r="V2400" s="79"/>
    </row>
    <row r="2401" spans="7:22" x14ac:dyDescent="0.2">
      <c r="G2401" s="79"/>
      <c r="J2401" s="79"/>
      <c r="M2401" s="104"/>
      <c r="P2401" s="79"/>
      <c r="S2401" s="79"/>
      <c r="V2401" s="79"/>
    </row>
    <row r="2402" spans="7:22" x14ac:dyDescent="0.2">
      <c r="G2402" s="79"/>
      <c r="J2402" s="79"/>
      <c r="M2402" s="104"/>
      <c r="P2402" s="79"/>
      <c r="S2402" s="79"/>
      <c r="V2402" s="79"/>
    </row>
    <row r="2403" spans="7:22" x14ac:dyDescent="0.2">
      <c r="G2403" s="79"/>
      <c r="J2403" s="79"/>
      <c r="M2403" s="104"/>
      <c r="P2403" s="79"/>
      <c r="S2403" s="79"/>
      <c r="V2403" s="79"/>
    </row>
    <row r="2404" spans="7:22" x14ac:dyDescent="0.2">
      <c r="G2404" s="79"/>
      <c r="J2404" s="79"/>
      <c r="M2404" s="104"/>
      <c r="P2404" s="79"/>
      <c r="S2404" s="79"/>
      <c r="V2404" s="79"/>
    </row>
    <row r="2405" spans="7:22" x14ac:dyDescent="0.2">
      <c r="G2405" s="79"/>
      <c r="J2405" s="79"/>
      <c r="M2405" s="104"/>
      <c r="P2405" s="79"/>
      <c r="S2405" s="79"/>
      <c r="V2405" s="79"/>
    </row>
    <row r="2406" spans="7:22" x14ac:dyDescent="0.2">
      <c r="G2406" s="79"/>
      <c r="J2406" s="79"/>
      <c r="M2406" s="104"/>
      <c r="P2406" s="79"/>
      <c r="S2406" s="79"/>
      <c r="V2406" s="79"/>
    </row>
    <row r="2407" spans="7:22" x14ac:dyDescent="0.2">
      <c r="G2407" s="79"/>
      <c r="J2407" s="79"/>
      <c r="M2407" s="104"/>
      <c r="P2407" s="79"/>
      <c r="S2407" s="79"/>
      <c r="V2407" s="79"/>
    </row>
    <row r="2408" spans="7:22" x14ac:dyDescent="0.2">
      <c r="G2408" s="79"/>
      <c r="J2408" s="79"/>
      <c r="M2408" s="104"/>
      <c r="P2408" s="79"/>
      <c r="S2408" s="79"/>
      <c r="V2408" s="79"/>
    </row>
    <row r="2409" spans="7:22" x14ac:dyDescent="0.2">
      <c r="G2409" s="79"/>
      <c r="J2409" s="79"/>
      <c r="M2409" s="104"/>
      <c r="P2409" s="79"/>
      <c r="S2409" s="79"/>
      <c r="V2409" s="79"/>
    </row>
    <row r="2410" spans="7:22" x14ac:dyDescent="0.2">
      <c r="G2410" s="79"/>
      <c r="J2410" s="79"/>
      <c r="M2410" s="104"/>
      <c r="P2410" s="79"/>
      <c r="S2410" s="79"/>
      <c r="V2410" s="79"/>
    </row>
    <row r="2411" spans="7:22" x14ac:dyDescent="0.2">
      <c r="G2411" s="79"/>
      <c r="J2411" s="79"/>
      <c r="M2411" s="104"/>
      <c r="P2411" s="79"/>
      <c r="S2411" s="79"/>
      <c r="V2411" s="79"/>
    </row>
    <row r="2412" spans="7:22" x14ac:dyDescent="0.2">
      <c r="G2412" s="79"/>
      <c r="J2412" s="79"/>
      <c r="M2412" s="104"/>
      <c r="P2412" s="79"/>
      <c r="S2412" s="79"/>
      <c r="V2412" s="79"/>
    </row>
    <row r="2413" spans="7:22" x14ac:dyDescent="0.2">
      <c r="G2413" s="79"/>
      <c r="J2413" s="79"/>
      <c r="M2413" s="104"/>
      <c r="P2413" s="79"/>
      <c r="S2413" s="79"/>
      <c r="V2413" s="79"/>
    </row>
    <row r="2414" spans="7:22" x14ac:dyDescent="0.2">
      <c r="G2414" s="79"/>
      <c r="J2414" s="79"/>
      <c r="M2414" s="104"/>
      <c r="P2414" s="79"/>
      <c r="S2414" s="79"/>
      <c r="V2414" s="79"/>
    </row>
    <row r="2415" spans="7:22" x14ac:dyDescent="0.2">
      <c r="G2415" s="79"/>
      <c r="J2415" s="79"/>
      <c r="M2415" s="104"/>
      <c r="P2415" s="79"/>
      <c r="S2415" s="79"/>
      <c r="V2415" s="79"/>
    </row>
    <row r="2416" spans="7:22" x14ac:dyDescent="0.2">
      <c r="G2416" s="79"/>
      <c r="J2416" s="79"/>
      <c r="M2416" s="104"/>
      <c r="P2416" s="79"/>
      <c r="S2416" s="79"/>
      <c r="V2416" s="79"/>
    </row>
    <row r="2417" spans="7:22" x14ac:dyDescent="0.2">
      <c r="G2417" s="79"/>
      <c r="J2417" s="79"/>
      <c r="M2417" s="104"/>
      <c r="P2417" s="79"/>
      <c r="S2417" s="79"/>
      <c r="V2417" s="79"/>
    </row>
    <row r="2418" spans="7:22" x14ac:dyDescent="0.2">
      <c r="G2418" s="79"/>
      <c r="J2418" s="79"/>
      <c r="M2418" s="104"/>
      <c r="P2418" s="79"/>
      <c r="S2418" s="79"/>
      <c r="V2418" s="79"/>
    </row>
    <row r="2419" spans="7:22" x14ac:dyDescent="0.2">
      <c r="G2419" s="79"/>
      <c r="J2419" s="79"/>
      <c r="M2419" s="104"/>
      <c r="P2419" s="79"/>
      <c r="S2419" s="79"/>
      <c r="V2419" s="79"/>
    </row>
    <row r="2420" spans="7:22" x14ac:dyDescent="0.2">
      <c r="G2420" s="79"/>
      <c r="J2420" s="79"/>
      <c r="M2420" s="104"/>
      <c r="P2420" s="79"/>
      <c r="S2420" s="79"/>
      <c r="V2420" s="79"/>
    </row>
    <row r="2421" spans="7:22" x14ac:dyDescent="0.2">
      <c r="G2421" s="79"/>
      <c r="J2421" s="79"/>
      <c r="M2421" s="104"/>
      <c r="P2421" s="79"/>
      <c r="S2421" s="79"/>
      <c r="V2421" s="79"/>
    </row>
    <row r="2422" spans="7:22" x14ac:dyDescent="0.2">
      <c r="G2422" s="79"/>
      <c r="J2422" s="79"/>
      <c r="M2422" s="104"/>
      <c r="P2422" s="79"/>
      <c r="S2422" s="79"/>
      <c r="V2422" s="79"/>
    </row>
    <row r="2423" spans="7:22" x14ac:dyDescent="0.2">
      <c r="G2423" s="79"/>
      <c r="J2423" s="79"/>
      <c r="M2423" s="104"/>
      <c r="P2423" s="79"/>
      <c r="S2423" s="79"/>
      <c r="V2423" s="79"/>
    </row>
    <row r="2424" spans="7:22" x14ac:dyDescent="0.2">
      <c r="G2424" s="79"/>
      <c r="J2424" s="79"/>
      <c r="M2424" s="104"/>
      <c r="P2424" s="79"/>
      <c r="S2424" s="79"/>
      <c r="V2424" s="79"/>
    </row>
    <row r="2425" spans="7:22" x14ac:dyDescent="0.2">
      <c r="G2425" s="79"/>
      <c r="J2425" s="79"/>
      <c r="M2425" s="104"/>
      <c r="P2425" s="79"/>
      <c r="S2425" s="79"/>
      <c r="V2425" s="79"/>
    </row>
    <row r="2426" spans="7:22" x14ac:dyDescent="0.2">
      <c r="G2426" s="79"/>
      <c r="J2426" s="79"/>
      <c r="M2426" s="104"/>
      <c r="P2426" s="79"/>
      <c r="S2426" s="79"/>
      <c r="V2426" s="79"/>
    </row>
    <row r="2427" spans="7:22" x14ac:dyDescent="0.2">
      <c r="G2427" s="79"/>
      <c r="J2427" s="79"/>
      <c r="M2427" s="104"/>
      <c r="P2427" s="79"/>
      <c r="S2427" s="79"/>
      <c r="V2427" s="79"/>
    </row>
    <row r="2428" spans="7:22" x14ac:dyDescent="0.2">
      <c r="G2428" s="79"/>
      <c r="J2428" s="79"/>
      <c r="M2428" s="104"/>
      <c r="P2428" s="79"/>
      <c r="S2428" s="79"/>
      <c r="V2428" s="79"/>
    </row>
    <row r="2429" spans="7:22" x14ac:dyDescent="0.2">
      <c r="G2429" s="79"/>
      <c r="J2429" s="79"/>
      <c r="M2429" s="104"/>
      <c r="P2429" s="79"/>
      <c r="S2429" s="79"/>
      <c r="V2429" s="79"/>
    </row>
    <row r="2430" spans="7:22" x14ac:dyDescent="0.2">
      <c r="G2430" s="79"/>
      <c r="J2430" s="79"/>
      <c r="M2430" s="104"/>
      <c r="P2430" s="79"/>
      <c r="S2430" s="79"/>
      <c r="V2430" s="79"/>
    </row>
    <row r="2431" spans="7:22" x14ac:dyDescent="0.2">
      <c r="G2431" s="79"/>
      <c r="J2431" s="79"/>
      <c r="M2431" s="104"/>
      <c r="P2431" s="79"/>
      <c r="S2431" s="79"/>
      <c r="V2431" s="79"/>
    </row>
    <row r="2432" spans="7:22" x14ac:dyDescent="0.2">
      <c r="G2432" s="79"/>
      <c r="J2432" s="79"/>
      <c r="M2432" s="104"/>
      <c r="P2432" s="79"/>
      <c r="S2432" s="79"/>
      <c r="V2432" s="79"/>
    </row>
    <row r="2433" spans="7:22" x14ac:dyDescent="0.2">
      <c r="G2433" s="79"/>
      <c r="J2433" s="79"/>
      <c r="M2433" s="104"/>
      <c r="P2433" s="79"/>
      <c r="S2433" s="79"/>
      <c r="V2433" s="79"/>
    </row>
    <row r="2434" spans="7:22" x14ac:dyDescent="0.2">
      <c r="G2434" s="79"/>
      <c r="J2434" s="79"/>
      <c r="M2434" s="104"/>
      <c r="P2434" s="79"/>
      <c r="S2434" s="79"/>
      <c r="V2434" s="79"/>
    </row>
    <row r="2435" spans="7:22" x14ac:dyDescent="0.2">
      <c r="G2435" s="79"/>
      <c r="J2435" s="79"/>
      <c r="M2435" s="104"/>
      <c r="P2435" s="79"/>
      <c r="S2435" s="79"/>
      <c r="V2435" s="79"/>
    </row>
    <row r="2436" spans="7:22" x14ac:dyDescent="0.2">
      <c r="G2436" s="79"/>
      <c r="J2436" s="79"/>
      <c r="M2436" s="104"/>
      <c r="P2436" s="79"/>
      <c r="S2436" s="79"/>
      <c r="V2436" s="79"/>
    </row>
    <row r="2437" spans="7:22" x14ac:dyDescent="0.2">
      <c r="G2437" s="79"/>
      <c r="J2437" s="79"/>
      <c r="M2437" s="104"/>
      <c r="P2437" s="79"/>
      <c r="S2437" s="79"/>
      <c r="V2437" s="79"/>
    </row>
    <row r="2438" spans="7:22" x14ac:dyDescent="0.2">
      <c r="G2438" s="79"/>
      <c r="J2438" s="79"/>
      <c r="M2438" s="104"/>
      <c r="P2438" s="79"/>
      <c r="S2438" s="79"/>
      <c r="V2438" s="79"/>
    </row>
    <row r="2439" spans="7:22" x14ac:dyDescent="0.2">
      <c r="G2439" s="79"/>
      <c r="J2439" s="79"/>
      <c r="M2439" s="104"/>
      <c r="P2439" s="79"/>
      <c r="S2439" s="79"/>
      <c r="V2439" s="79"/>
    </row>
    <row r="2440" spans="7:22" x14ac:dyDescent="0.2">
      <c r="G2440" s="79"/>
      <c r="J2440" s="79"/>
      <c r="M2440" s="104"/>
      <c r="P2440" s="79"/>
      <c r="S2440" s="79"/>
      <c r="V2440" s="79"/>
    </row>
    <row r="2441" spans="7:22" x14ac:dyDescent="0.2">
      <c r="G2441" s="79"/>
      <c r="J2441" s="79"/>
      <c r="M2441" s="104"/>
      <c r="P2441" s="79"/>
      <c r="S2441" s="79"/>
      <c r="V2441" s="79"/>
    </row>
    <row r="2442" spans="7:22" x14ac:dyDescent="0.2">
      <c r="G2442" s="79"/>
      <c r="J2442" s="79"/>
      <c r="M2442" s="104"/>
      <c r="P2442" s="79"/>
      <c r="S2442" s="79"/>
      <c r="V2442" s="79"/>
    </row>
    <row r="2443" spans="7:22" x14ac:dyDescent="0.2">
      <c r="G2443" s="79"/>
      <c r="J2443" s="79"/>
      <c r="M2443" s="104"/>
      <c r="P2443" s="79"/>
      <c r="S2443" s="79"/>
      <c r="V2443" s="79"/>
    </row>
    <row r="2444" spans="7:22" x14ac:dyDescent="0.2">
      <c r="G2444" s="79"/>
      <c r="J2444" s="79"/>
      <c r="M2444" s="104"/>
      <c r="P2444" s="79"/>
      <c r="S2444" s="79"/>
      <c r="V2444" s="79"/>
    </row>
    <row r="2445" spans="7:22" x14ac:dyDescent="0.2">
      <c r="G2445" s="79"/>
      <c r="J2445" s="79"/>
      <c r="M2445" s="104"/>
      <c r="P2445" s="79"/>
      <c r="S2445" s="79"/>
      <c r="V2445" s="79"/>
    </row>
    <row r="2446" spans="7:22" x14ac:dyDescent="0.2">
      <c r="G2446" s="79"/>
      <c r="J2446" s="79"/>
      <c r="M2446" s="104"/>
      <c r="P2446" s="79"/>
      <c r="S2446" s="79"/>
      <c r="V2446" s="79"/>
    </row>
    <row r="2447" spans="7:22" x14ac:dyDescent="0.2">
      <c r="G2447" s="79"/>
      <c r="J2447" s="79"/>
      <c r="M2447" s="104"/>
      <c r="P2447" s="79"/>
      <c r="S2447" s="79"/>
      <c r="V2447" s="79"/>
    </row>
    <row r="2448" spans="7:22" x14ac:dyDescent="0.2">
      <c r="G2448" s="79"/>
      <c r="J2448" s="79"/>
      <c r="M2448" s="104"/>
      <c r="P2448" s="79"/>
      <c r="S2448" s="79"/>
      <c r="V2448" s="79"/>
    </row>
    <row r="2449" spans="7:22" x14ac:dyDescent="0.2">
      <c r="G2449" s="79"/>
      <c r="J2449" s="79"/>
      <c r="M2449" s="104"/>
      <c r="P2449" s="79"/>
      <c r="S2449" s="79"/>
      <c r="V2449" s="79"/>
    </row>
    <row r="2450" spans="7:22" x14ac:dyDescent="0.2">
      <c r="G2450" s="79"/>
      <c r="J2450" s="79"/>
      <c r="M2450" s="104"/>
      <c r="P2450" s="79"/>
      <c r="S2450" s="79"/>
      <c r="V2450" s="79"/>
    </row>
    <row r="2451" spans="7:22" x14ac:dyDescent="0.2">
      <c r="G2451" s="79"/>
      <c r="J2451" s="79"/>
      <c r="M2451" s="104"/>
      <c r="P2451" s="79"/>
      <c r="S2451" s="79"/>
      <c r="V2451" s="79"/>
    </row>
    <row r="2452" spans="7:22" x14ac:dyDescent="0.2">
      <c r="G2452" s="79"/>
      <c r="J2452" s="79"/>
      <c r="M2452" s="104"/>
      <c r="P2452" s="79"/>
      <c r="S2452" s="79"/>
      <c r="V2452" s="79"/>
    </row>
    <row r="2453" spans="7:22" x14ac:dyDescent="0.2">
      <c r="G2453" s="79"/>
      <c r="J2453" s="79"/>
      <c r="M2453" s="104"/>
      <c r="P2453" s="79"/>
      <c r="S2453" s="79"/>
      <c r="V2453" s="79"/>
    </row>
    <row r="2454" spans="7:22" x14ac:dyDescent="0.2">
      <c r="G2454" s="79"/>
      <c r="J2454" s="79"/>
      <c r="M2454" s="104"/>
      <c r="P2454" s="79"/>
      <c r="S2454" s="79"/>
      <c r="V2454" s="79"/>
    </row>
    <row r="2455" spans="7:22" x14ac:dyDescent="0.2">
      <c r="G2455" s="79"/>
      <c r="J2455" s="79"/>
      <c r="M2455" s="104"/>
      <c r="P2455" s="79"/>
      <c r="S2455" s="79"/>
      <c r="V2455" s="79"/>
    </row>
    <row r="2456" spans="7:22" x14ac:dyDescent="0.2">
      <c r="G2456" s="79"/>
      <c r="J2456" s="79"/>
      <c r="M2456" s="104"/>
      <c r="P2456" s="79"/>
      <c r="S2456" s="79"/>
      <c r="V2456" s="79"/>
    </row>
    <row r="2457" spans="7:22" x14ac:dyDescent="0.2">
      <c r="G2457" s="79"/>
      <c r="J2457" s="79"/>
      <c r="M2457" s="104"/>
      <c r="P2457" s="79"/>
      <c r="S2457" s="79"/>
      <c r="V2457" s="79"/>
    </row>
    <row r="2458" spans="7:22" x14ac:dyDescent="0.2">
      <c r="G2458" s="79"/>
      <c r="J2458" s="79"/>
      <c r="M2458" s="104"/>
      <c r="P2458" s="79"/>
      <c r="S2458" s="79"/>
      <c r="V2458" s="79"/>
    </row>
    <row r="2459" spans="7:22" x14ac:dyDescent="0.2">
      <c r="G2459" s="79"/>
      <c r="J2459" s="79"/>
      <c r="M2459" s="104"/>
      <c r="P2459" s="79"/>
      <c r="S2459" s="79"/>
      <c r="V2459" s="79"/>
    </row>
    <row r="2460" spans="7:22" x14ac:dyDescent="0.2">
      <c r="G2460" s="79"/>
      <c r="J2460" s="79"/>
      <c r="M2460" s="104"/>
      <c r="P2460" s="79"/>
      <c r="S2460" s="79"/>
      <c r="V2460" s="79"/>
    </row>
    <row r="2461" spans="7:22" x14ac:dyDescent="0.2">
      <c r="G2461" s="79"/>
      <c r="J2461" s="79"/>
      <c r="M2461" s="104"/>
      <c r="P2461" s="79"/>
      <c r="S2461" s="79"/>
      <c r="V2461" s="79"/>
    </row>
    <row r="2462" spans="7:22" x14ac:dyDescent="0.2">
      <c r="G2462" s="79"/>
      <c r="J2462" s="79"/>
      <c r="M2462" s="104"/>
      <c r="P2462" s="79"/>
      <c r="S2462" s="79"/>
      <c r="V2462" s="79"/>
    </row>
    <row r="2463" spans="7:22" x14ac:dyDescent="0.2">
      <c r="G2463" s="79"/>
      <c r="J2463" s="79"/>
      <c r="M2463" s="104"/>
      <c r="P2463" s="79"/>
      <c r="S2463" s="79"/>
      <c r="V2463" s="79"/>
    </row>
    <row r="2464" spans="7:22" x14ac:dyDescent="0.2">
      <c r="G2464" s="79"/>
      <c r="J2464" s="79"/>
      <c r="M2464" s="104"/>
      <c r="P2464" s="79"/>
      <c r="S2464" s="79"/>
      <c r="V2464" s="79"/>
    </row>
    <row r="2465" spans="7:22" x14ac:dyDescent="0.2">
      <c r="G2465" s="79"/>
      <c r="J2465" s="79"/>
      <c r="M2465" s="104"/>
      <c r="P2465" s="79"/>
      <c r="S2465" s="79"/>
      <c r="V2465" s="79"/>
    </row>
    <row r="2466" spans="7:22" x14ac:dyDescent="0.2">
      <c r="G2466" s="79"/>
      <c r="J2466" s="79"/>
      <c r="M2466" s="104"/>
      <c r="P2466" s="79"/>
      <c r="S2466" s="79"/>
      <c r="V2466" s="79"/>
    </row>
    <row r="2467" spans="7:22" x14ac:dyDescent="0.2">
      <c r="G2467" s="79"/>
      <c r="J2467" s="79"/>
      <c r="M2467" s="104"/>
      <c r="P2467" s="79"/>
      <c r="S2467" s="79"/>
      <c r="V2467" s="79"/>
    </row>
    <row r="2468" spans="7:22" x14ac:dyDescent="0.2">
      <c r="G2468" s="79"/>
      <c r="J2468" s="79"/>
      <c r="M2468" s="104"/>
      <c r="P2468" s="79"/>
      <c r="S2468" s="79"/>
      <c r="V2468" s="79"/>
    </row>
    <row r="2469" spans="7:22" x14ac:dyDescent="0.2">
      <c r="G2469" s="79"/>
      <c r="J2469" s="79"/>
      <c r="M2469" s="104"/>
      <c r="P2469" s="79"/>
      <c r="S2469" s="79"/>
      <c r="V2469" s="79"/>
    </row>
    <row r="2470" spans="7:22" x14ac:dyDescent="0.2">
      <c r="G2470" s="79"/>
      <c r="J2470" s="79"/>
      <c r="M2470" s="104"/>
      <c r="P2470" s="79"/>
      <c r="S2470" s="79"/>
      <c r="V2470" s="79"/>
    </row>
    <row r="2471" spans="7:22" x14ac:dyDescent="0.2">
      <c r="G2471" s="79"/>
      <c r="J2471" s="79"/>
      <c r="M2471" s="104"/>
      <c r="P2471" s="79"/>
      <c r="S2471" s="79"/>
      <c r="V2471" s="79"/>
    </row>
    <row r="2472" spans="7:22" x14ac:dyDescent="0.2">
      <c r="G2472" s="79"/>
      <c r="J2472" s="79"/>
      <c r="M2472" s="104"/>
      <c r="P2472" s="79"/>
      <c r="S2472" s="79"/>
      <c r="V2472" s="79"/>
    </row>
    <row r="2473" spans="7:22" x14ac:dyDescent="0.2">
      <c r="G2473" s="79"/>
      <c r="J2473" s="79"/>
      <c r="M2473" s="104"/>
      <c r="P2473" s="79"/>
      <c r="S2473" s="79"/>
      <c r="V2473" s="79"/>
    </row>
    <row r="2474" spans="7:22" x14ac:dyDescent="0.2">
      <c r="G2474" s="79"/>
      <c r="J2474" s="79"/>
      <c r="M2474" s="104"/>
      <c r="P2474" s="79"/>
      <c r="S2474" s="79"/>
      <c r="V2474" s="79"/>
    </row>
    <row r="2475" spans="7:22" x14ac:dyDescent="0.2">
      <c r="G2475" s="79"/>
      <c r="J2475" s="79"/>
      <c r="M2475" s="104"/>
      <c r="P2475" s="79"/>
      <c r="S2475" s="79"/>
      <c r="V2475" s="79"/>
    </row>
    <row r="2476" spans="7:22" x14ac:dyDescent="0.2">
      <c r="G2476" s="79"/>
      <c r="J2476" s="79"/>
      <c r="M2476" s="104"/>
      <c r="P2476" s="79"/>
      <c r="S2476" s="79"/>
      <c r="V2476" s="79"/>
    </row>
    <row r="2477" spans="7:22" x14ac:dyDescent="0.2">
      <c r="G2477" s="79"/>
      <c r="J2477" s="79"/>
      <c r="M2477" s="104"/>
      <c r="P2477" s="79"/>
      <c r="S2477" s="79"/>
      <c r="V2477" s="79"/>
    </row>
    <row r="2478" spans="7:22" x14ac:dyDescent="0.2">
      <c r="G2478" s="79"/>
      <c r="J2478" s="79"/>
      <c r="M2478" s="104"/>
      <c r="P2478" s="79"/>
      <c r="S2478" s="79"/>
      <c r="V2478" s="79"/>
    </row>
    <row r="2479" spans="7:22" x14ac:dyDescent="0.2">
      <c r="G2479" s="79"/>
      <c r="J2479" s="79"/>
      <c r="M2479" s="104"/>
      <c r="P2479" s="79"/>
      <c r="S2479" s="79"/>
      <c r="V2479" s="79"/>
    </row>
    <row r="2480" spans="7:22" x14ac:dyDescent="0.2">
      <c r="G2480" s="79"/>
      <c r="J2480" s="79"/>
      <c r="M2480" s="104"/>
      <c r="P2480" s="79"/>
      <c r="S2480" s="79"/>
      <c r="V2480" s="79"/>
    </row>
    <row r="2481" spans="7:22" x14ac:dyDescent="0.2">
      <c r="G2481" s="79"/>
      <c r="J2481" s="79"/>
      <c r="M2481" s="104"/>
      <c r="P2481" s="79"/>
      <c r="S2481" s="79"/>
      <c r="V2481" s="79"/>
    </row>
    <row r="2482" spans="7:22" x14ac:dyDescent="0.2">
      <c r="G2482" s="79"/>
      <c r="J2482" s="79"/>
      <c r="M2482" s="104"/>
      <c r="P2482" s="79"/>
      <c r="S2482" s="79"/>
      <c r="V2482" s="79"/>
    </row>
    <row r="2483" spans="7:22" x14ac:dyDescent="0.2">
      <c r="G2483" s="79"/>
      <c r="J2483" s="79"/>
      <c r="M2483" s="104"/>
      <c r="P2483" s="79"/>
      <c r="S2483" s="79"/>
      <c r="V2483" s="79"/>
    </row>
    <row r="2484" spans="7:22" x14ac:dyDescent="0.2">
      <c r="G2484" s="79"/>
      <c r="J2484" s="79"/>
      <c r="M2484" s="104"/>
      <c r="P2484" s="79"/>
      <c r="S2484" s="79"/>
      <c r="V2484" s="79"/>
    </row>
    <row r="2485" spans="7:22" x14ac:dyDescent="0.2">
      <c r="G2485" s="79"/>
      <c r="J2485" s="79"/>
      <c r="M2485" s="104"/>
      <c r="P2485" s="79"/>
      <c r="S2485" s="79"/>
      <c r="V2485" s="79"/>
    </row>
    <row r="2486" spans="7:22" x14ac:dyDescent="0.2">
      <c r="G2486" s="79"/>
      <c r="J2486" s="79"/>
      <c r="M2486" s="104"/>
      <c r="P2486" s="79"/>
      <c r="S2486" s="79"/>
      <c r="V2486" s="79"/>
    </row>
    <row r="2487" spans="7:22" x14ac:dyDescent="0.2">
      <c r="G2487" s="79"/>
      <c r="J2487" s="79"/>
      <c r="M2487" s="104"/>
      <c r="P2487" s="79"/>
      <c r="S2487" s="79"/>
      <c r="V2487" s="79"/>
    </row>
    <row r="2488" spans="7:22" x14ac:dyDescent="0.2">
      <c r="G2488" s="79"/>
      <c r="J2488" s="79"/>
      <c r="M2488" s="104"/>
      <c r="P2488" s="79"/>
      <c r="S2488" s="79"/>
      <c r="V2488" s="79"/>
    </row>
    <row r="2489" spans="7:22" x14ac:dyDescent="0.2">
      <c r="G2489" s="79"/>
      <c r="J2489" s="79"/>
      <c r="M2489" s="104"/>
      <c r="P2489" s="79"/>
      <c r="S2489" s="79"/>
      <c r="V2489" s="79"/>
    </row>
    <row r="2490" spans="7:22" x14ac:dyDescent="0.2">
      <c r="G2490" s="79"/>
      <c r="J2490" s="79"/>
      <c r="M2490" s="104"/>
      <c r="P2490" s="79"/>
      <c r="S2490" s="79"/>
      <c r="V2490" s="79"/>
    </row>
    <row r="2491" spans="7:22" x14ac:dyDescent="0.2">
      <c r="G2491" s="79"/>
      <c r="J2491" s="79"/>
      <c r="M2491" s="104"/>
      <c r="P2491" s="79"/>
      <c r="S2491" s="79"/>
      <c r="V2491" s="79"/>
    </row>
    <row r="2492" spans="7:22" x14ac:dyDescent="0.2">
      <c r="G2492" s="79"/>
      <c r="J2492" s="79"/>
      <c r="M2492" s="104"/>
      <c r="P2492" s="79"/>
      <c r="S2492" s="79"/>
      <c r="V2492" s="79"/>
    </row>
    <row r="2493" spans="7:22" x14ac:dyDescent="0.2">
      <c r="G2493" s="79"/>
      <c r="J2493" s="79"/>
      <c r="M2493" s="104"/>
      <c r="P2493" s="79"/>
      <c r="S2493" s="79"/>
      <c r="V2493" s="79"/>
    </row>
    <row r="2494" spans="7:22" x14ac:dyDescent="0.2">
      <c r="G2494" s="79"/>
      <c r="J2494" s="79"/>
      <c r="M2494" s="104"/>
      <c r="P2494" s="79"/>
      <c r="S2494" s="79"/>
      <c r="V2494" s="79"/>
    </row>
    <row r="2495" spans="7:22" x14ac:dyDescent="0.2">
      <c r="G2495" s="79"/>
      <c r="J2495" s="79"/>
      <c r="M2495" s="104"/>
      <c r="P2495" s="79"/>
      <c r="S2495" s="79"/>
      <c r="V2495" s="79"/>
    </row>
    <row r="2496" spans="7:22" x14ac:dyDescent="0.2">
      <c r="G2496" s="79"/>
      <c r="J2496" s="79"/>
      <c r="M2496" s="104"/>
      <c r="P2496" s="79"/>
      <c r="S2496" s="79"/>
      <c r="V2496" s="79"/>
    </row>
    <row r="2497" spans="7:22" x14ac:dyDescent="0.2">
      <c r="G2497" s="79"/>
      <c r="J2497" s="79"/>
      <c r="M2497" s="104"/>
      <c r="P2497" s="79"/>
      <c r="S2497" s="79"/>
      <c r="V2497" s="79"/>
    </row>
    <row r="2498" spans="7:22" x14ac:dyDescent="0.2">
      <c r="G2498" s="79"/>
      <c r="J2498" s="79"/>
      <c r="M2498" s="104"/>
      <c r="P2498" s="79"/>
      <c r="S2498" s="79"/>
      <c r="V2498" s="79"/>
    </row>
    <row r="2499" spans="7:22" x14ac:dyDescent="0.2">
      <c r="G2499" s="79"/>
      <c r="J2499" s="79"/>
      <c r="M2499" s="104"/>
      <c r="P2499" s="79"/>
      <c r="S2499" s="79"/>
      <c r="V2499" s="79"/>
    </row>
    <row r="2500" spans="7:22" x14ac:dyDescent="0.2">
      <c r="G2500" s="79"/>
      <c r="J2500" s="79"/>
      <c r="M2500" s="104"/>
      <c r="P2500" s="79"/>
      <c r="S2500" s="79"/>
      <c r="V2500" s="79"/>
    </row>
    <row r="2501" spans="7:22" x14ac:dyDescent="0.2">
      <c r="G2501" s="79"/>
      <c r="J2501" s="79"/>
      <c r="M2501" s="104"/>
      <c r="P2501" s="79"/>
      <c r="S2501" s="79"/>
      <c r="V2501" s="79"/>
    </row>
    <row r="2502" spans="7:22" x14ac:dyDescent="0.2">
      <c r="G2502" s="79"/>
      <c r="J2502" s="79"/>
      <c r="M2502" s="104"/>
      <c r="P2502" s="79"/>
      <c r="S2502" s="79"/>
      <c r="V2502" s="79"/>
    </row>
    <row r="2503" spans="7:22" x14ac:dyDescent="0.2">
      <c r="G2503" s="79"/>
      <c r="J2503" s="79"/>
      <c r="M2503" s="104"/>
      <c r="P2503" s="79"/>
      <c r="S2503" s="79"/>
      <c r="V2503" s="79"/>
    </row>
    <row r="2504" spans="7:22" x14ac:dyDescent="0.2">
      <c r="G2504" s="79"/>
      <c r="J2504" s="79"/>
      <c r="M2504" s="104"/>
      <c r="P2504" s="79"/>
      <c r="S2504" s="79"/>
      <c r="V2504" s="79"/>
    </row>
    <row r="2505" spans="7:22" x14ac:dyDescent="0.2">
      <c r="G2505" s="79"/>
      <c r="J2505" s="79"/>
      <c r="M2505" s="104"/>
      <c r="P2505" s="79"/>
      <c r="S2505" s="79"/>
      <c r="V2505" s="79"/>
    </row>
    <row r="2506" spans="7:22" x14ac:dyDescent="0.2">
      <c r="G2506" s="79"/>
      <c r="J2506" s="79"/>
      <c r="M2506" s="104"/>
      <c r="P2506" s="79"/>
      <c r="S2506" s="79"/>
      <c r="V2506" s="79"/>
    </row>
    <row r="2507" spans="7:22" x14ac:dyDescent="0.2">
      <c r="G2507" s="79"/>
      <c r="J2507" s="79"/>
      <c r="M2507" s="104"/>
      <c r="P2507" s="79"/>
      <c r="S2507" s="79"/>
      <c r="V2507" s="79"/>
    </row>
    <row r="2508" spans="7:22" x14ac:dyDescent="0.2">
      <c r="G2508" s="79"/>
      <c r="J2508" s="79"/>
      <c r="M2508" s="104"/>
      <c r="P2508" s="79"/>
      <c r="S2508" s="79"/>
      <c r="V2508" s="79"/>
    </row>
    <row r="2509" spans="7:22" x14ac:dyDescent="0.2">
      <c r="G2509" s="79"/>
      <c r="J2509" s="79"/>
      <c r="M2509" s="104"/>
      <c r="P2509" s="79"/>
      <c r="S2509" s="79"/>
      <c r="V2509" s="79"/>
    </row>
    <row r="2510" spans="7:22" x14ac:dyDescent="0.2">
      <c r="G2510" s="79"/>
      <c r="J2510" s="79"/>
      <c r="M2510" s="104"/>
      <c r="P2510" s="79"/>
      <c r="S2510" s="79"/>
      <c r="V2510" s="79"/>
    </row>
    <row r="2511" spans="7:22" x14ac:dyDescent="0.2">
      <c r="G2511" s="79"/>
      <c r="J2511" s="79"/>
      <c r="M2511" s="104"/>
      <c r="P2511" s="79"/>
      <c r="S2511" s="79"/>
      <c r="V2511" s="79"/>
    </row>
    <row r="2512" spans="7:22" x14ac:dyDescent="0.2">
      <c r="G2512" s="79"/>
      <c r="J2512" s="79"/>
      <c r="M2512" s="104"/>
      <c r="P2512" s="79"/>
      <c r="S2512" s="79"/>
      <c r="V2512" s="79"/>
    </row>
    <row r="2513" spans="7:22" x14ac:dyDescent="0.2">
      <c r="G2513" s="79"/>
      <c r="J2513" s="79"/>
      <c r="M2513" s="104"/>
      <c r="P2513" s="79"/>
      <c r="S2513" s="79"/>
      <c r="V2513" s="79"/>
    </row>
    <row r="2514" spans="7:22" x14ac:dyDescent="0.2">
      <c r="G2514" s="79"/>
      <c r="J2514" s="79"/>
      <c r="M2514" s="104"/>
      <c r="P2514" s="79"/>
      <c r="S2514" s="79"/>
      <c r="V2514" s="79"/>
    </row>
    <row r="2515" spans="7:22" x14ac:dyDescent="0.2">
      <c r="G2515" s="79"/>
      <c r="J2515" s="79"/>
      <c r="M2515" s="104"/>
      <c r="P2515" s="79"/>
      <c r="S2515" s="79"/>
      <c r="V2515" s="79"/>
    </row>
    <row r="2516" spans="7:22" x14ac:dyDescent="0.2">
      <c r="G2516" s="79"/>
      <c r="J2516" s="79"/>
      <c r="M2516" s="104"/>
      <c r="P2516" s="79"/>
      <c r="S2516" s="79"/>
      <c r="V2516" s="79"/>
    </row>
    <row r="2517" spans="7:22" x14ac:dyDescent="0.2">
      <c r="G2517" s="79"/>
      <c r="J2517" s="79"/>
      <c r="M2517" s="104"/>
      <c r="P2517" s="79"/>
      <c r="S2517" s="79"/>
      <c r="V2517" s="79"/>
    </row>
    <row r="2518" spans="7:22" x14ac:dyDescent="0.2">
      <c r="G2518" s="79"/>
      <c r="J2518" s="79"/>
      <c r="M2518" s="104"/>
      <c r="P2518" s="79"/>
      <c r="S2518" s="79"/>
      <c r="V2518" s="79"/>
    </row>
    <row r="2519" spans="7:22" x14ac:dyDescent="0.2">
      <c r="G2519" s="79"/>
      <c r="J2519" s="79"/>
      <c r="M2519" s="104"/>
      <c r="P2519" s="79"/>
      <c r="S2519" s="79"/>
      <c r="V2519" s="79"/>
    </row>
    <row r="2520" spans="7:22" x14ac:dyDescent="0.2">
      <c r="G2520" s="79"/>
      <c r="J2520" s="79"/>
      <c r="M2520" s="104"/>
      <c r="P2520" s="79"/>
      <c r="S2520" s="79"/>
      <c r="V2520" s="79"/>
    </row>
    <row r="2521" spans="7:22" x14ac:dyDescent="0.2">
      <c r="G2521" s="79"/>
      <c r="J2521" s="79"/>
      <c r="M2521" s="104"/>
      <c r="P2521" s="79"/>
      <c r="S2521" s="79"/>
      <c r="V2521" s="79"/>
    </row>
    <row r="2522" spans="7:22" x14ac:dyDescent="0.2">
      <c r="G2522" s="79"/>
      <c r="J2522" s="79"/>
      <c r="M2522" s="104"/>
      <c r="P2522" s="79"/>
      <c r="S2522" s="79"/>
      <c r="V2522" s="79"/>
    </row>
    <row r="2523" spans="7:22" x14ac:dyDescent="0.2">
      <c r="G2523" s="79"/>
      <c r="J2523" s="79"/>
      <c r="M2523" s="104"/>
      <c r="P2523" s="79"/>
      <c r="S2523" s="79"/>
      <c r="V2523" s="79"/>
    </row>
    <row r="2524" spans="7:22" x14ac:dyDescent="0.2">
      <c r="G2524" s="79"/>
      <c r="J2524" s="79"/>
      <c r="M2524" s="104"/>
      <c r="P2524" s="79"/>
      <c r="S2524" s="79"/>
      <c r="V2524" s="79"/>
    </row>
    <row r="2525" spans="7:22" x14ac:dyDescent="0.2">
      <c r="G2525" s="79"/>
      <c r="J2525" s="79"/>
      <c r="M2525" s="104"/>
      <c r="P2525" s="79"/>
      <c r="S2525" s="79"/>
      <c r="V2525" s="79"/>
    </row>
    <row r="2526" spans="7:22" x14ac:dyDescent="0.2">
      <c r="G2526" s="79"/>
      <c r="J2526" s="79"/>
      <c r="M2526" s="104"/>
      <c r="P2526" s="79"/>
      <c r="S2526" s="79"/>
      <c r="V2526" s="79"/>
    </row>
    <row r="2527" spans="7:22" x14ac:dyDescent="0.2">
      <c r="G2527" s="79"/>
      <c r="J2527" s="79"/>
      <c r="M2527" s="104"/>
      <c r="P2527" s="79"/>
      <c r="S2527" s="79"/>
      <c r="V2527" s="79"/>
    </row>
    <row r="2528" spans="7:22" x14ac:dyDescent="0.2">
      <c r="G2528" s="79"/>
      <c r="J2528" s="79"/>
      <c r="M2528" s="104"/>
      <c r="P2528" s="79"/>
      <c r="S2528" s="79"/>
      <c r="V2528" s="79"/>
    </row>
    <row r="2529" spans="7:22" x14ac:dyDescent="0.2">
      <c r="G2529" s="79"/>
      <c r="J2529" s="79"/>
      <c r="M2529" s="104"/>
      <c r="P2529" s="79"/>
      <c r="S2529" s="79"/>
      <c r="V2529" s="79"/>
    </row>
    <row r="2530" spans="7:22" x14ac:dyDescent="0.2">
      <c r="G2530" s="79"/>
      <c r="J2530" s="79"/>
      <c r="M2530" s="104"/>
      <c r="P2530" s="79"/>
      <c r="S2530" s="79"/>
      <c r="V2530" s="79"/>
    </row>
    <row r="2531" spans="7:22" x14ac:dyDescent="0.2">
      <c r="G2531" s="79"/>
      <c r="J2531" s="79"/>
      <c r="M2531" s="104"/>
      <c r="P2531" s="79"/>
      <c r="S2531" s="79"/>
      <c r="V2531" s="79"/>
    </row>
    <row r="2532" spans="7:22" x14ac:dyDescent="0.2">
      <c r="G2532" s="79"/>
      <c r="J2532" s="79"/>
      <c r="M2532" s="104"/>
      <c r="P2532" s="79"/>
      <c r="S2532" s="79"/>
      <c r="V2532" s="79"/>
    </row>
    <row r="2533" spans="7:22" x14ac:dyDescent="0.2">
      <c r="G2533" s="79"/>
      <c r="J2533" s="79"/>
      <c r="M2533" s="104"/>
      <c r="P2533" s="79"/>
      <c r="S2533" s="79"/>
      <c r="V2533" s="79"/>
    </row>
    <row r="2534" spans="7:22" x14ac:dyDescent="0.2">
      <c r="G2534" s="79"/>
      <c r="J2534" s="79"/>
      <c r="M2534" s="104"/>
      <c r="P2534" s="79"/>
      <c r="S2534" s="79"/>
      <c r="V2534" s="79"/>
    </row>
    <row r="2535" spans="7:22" x14ac:dyDescent="0.2">
      <c r="G2535" s="79"/>
      <c r="J2535" s="79"/>
      <c r="M2535" s="104"/>
      <c r="P2535" s="79"/>
      <c r="S2535" s="79"/>
      <c r="V2535" s="79"/>
    </row>
    <row r="2536" spans="7:22" x14ac:dyDescent="0.2">
      <c r="G2536" s="79"/>
      <c r="J2536" s="79"/>
      <c r="M2536" s="104"/>
      <c r="P2536" s="79"/>
      <c r="S2536" s="79"/>
      <c r="V2536" s="79"/>
    </row>
    <row r="2537" spans="7:22" x14ac:dyDescent="0.2">
      <c r="G2537" s="79"/>
      <c r="J2537" s="79"/>
      <c r="M2537" s="104"/>
      <c r="P2537" s="79"/>
      <c r="S2537" s="79"/>
      <c r="V2537" s="79"/>
    </row>
    <row r="2538" spans="7:22" x14ac:dyDescent="0.2">
      <c r="G2538" s="79"/>
      <c r="J2538" s="79"/>
      <c r="M2538" s="104"/>
      <c r="P2538" s="79"/>
      <c r="S2538" s="79"/>
      <c r="V2538" s="79"/>
    </row>
    <row r="2539" spans="7:22" x14ac:dyDescent="0.2">
      <c r="G2539" s="79"/>
      <c r="J2539" s="79"/>
      <c r="M2539" s="104"/>
      <c r="P2539" s="79"/>
      <c r="S2539" s="79"/>
      <c r="V2539" s="79"/>
    </row>
    <row r="2540" spans="7:22" x14ac:dyDescent="0.2">
      <c r="G2540" s="79"/>
      <c r="J2540" s="79"/>
      <c r="M2540" s="104"/>
      <c r="P2540" s="79"/>
      <c r="S2540" s="79"/>
      <c r="V2540" s="79"/>
    </row>
    <row r="2541" spans="7:22" x14ac:dyDescent="0.2">
      <c r="G2541" s="79"/>
      <c r="J2541" s="79"/>
      <c r="M2541" s="104"/>
      <c r="P2541" s="79"/>
      <c r="S2541" s="79"/>
      <c r="V2541" s="79"/>
    </row>
    <row r="2542" spans="7:22" x14ac:dyDescent="0.2">
      <c r="G2542" s="79"/>
      <c r="J2542" s="79"/>
      <c r="M2542" s="104"/>
      <c r="P2542" s="79"/>
      <c r="S2542" s="79"/>
      <c r="V2542" s="79"/>
    </row>
    <row r="2543" spans="7:22" x14ac:dyDescent="0.2">
      <c r="G2543" s="79"/>
      <c r="J2543" s="79"/>
      <c r="M2543" s="104"/>
      <c r="P2543" s="79"/>
      <c r="S2543" s="79"/>
      <c r="V2543" s="79"/>
    </row>
    <row r="2544" spans="7:22" x14ac:dyDescent="0.2">
      <c r="G2544" s="79"/>
      <c r="J2544" s="79"/>
      <c r="M2544" s="104"/>
      <c r="P2544" s="79"/>
      <c r="S2544" s="79"/>
      <c r="V2544" s="79"/>
    </row>
    <row r="2545" spans="7:22" x14ac:dyDescent="0.2">
      <c r="G2545" s="79"/>
      <c r="J2545" s="79"/>
      <c r="M2545" s="104"/>
      <c r="P2545" s="79"/>
      <c r="S2545" s="79"/>
      <c r="V2545" s="79"/>
    </row>
    <row r="2546" spans="7:22" x14ac:dyDescent="0.2">
      <c r="G2546" s="79"/>
      <c r="J2546" s="79"/>
      <c r="M2546" s="104"/>
      <c r="P2546" s="79"/>
      <c r="S2546" s="79"/>
      <c r="V2546" s="79"/>
    </row>
    <row r="2547" spans="7:22" x14ac:dyDescent="0.2">
      <c r="G2547" s="79"/>
      <c r="J2547" s="79"/>
      <c r="M2547" s="104"/>
      <c r="P2547" s="79"/>
      <c r="S2547" s="79"/>
      <c r="V2547" s="79"/>
    </row>
    <row r="2548" spans="7:22" x14ac:dyDescent="0.2">
      <c r="G2548" s="79"/>
      <c r="J2548" s="79"/>
      <c r="M2548" s="104"/>
      <c r="P2548" s="79"/>
      <c r="S2548" s="79"/>
      <c r="V2548" s="79"/>
    </row>
    <row r="2549" spans="7:22" x14ac:dyDescent="0.2">
      <c r="G2549" s="79"/>
      <c r="J2549" s="79"/>
      <c r="M2549" s="104"/>
      <c r="P2549" s="79"/>
      <c r="S2549" s="79"/>
      <c r="V2549" s="79"/>
    </row>
    <row r="2550" spans="7:22" x14ac:dyDescent="0.2">
      <c r="G2550" s="79"/>
      <c r="J2550" s="79"/>
      <c r="M2550" s="104"/>
      <c r="P2550" s="79"/>
      <c r="S2550" s="79"/>
      <c r="V2550" s="79"/>
    </row>
    <row r="2551" spans="7:22" x14ac:dyDescent="0.2">
      <c r="G2551" s="79"/>
      <c r="J2551" s="79"/>
      <c r="M2551" s="104"/>
      <c r="P2551" s="79"/>
      <c r="S2551" s="79"/>
      <c r="V2551" s="79"/>
    </row>
    <row r="2552" spans="7:22" x14ac:dyDescent="0.2">
      <c r="G2552" s="79"/>
      <c r="J2552" s="79"/>
      <c r="M2552" s="104"/>
      <c r="P2552" s="79"/>
      <c r="S2552" s="79"/>
      <c r="V2552" s="79"/>
    </row>
    <row r="2553" spans="7:22" x14ac:dyDescent="0.2">
      <c r="G2553" s="79"/>
      <c r="J2553" s="79"/>
      <c r="M2553" s="104"/>
      <c r="P2553" s="79"/>
      <c r="S2553" s="79"/>
      <c r="V2553" s="79"/>
    </row>
    <row r="2554" spans="7:22" x14ac:dyDescent="0.2">
      <c r="G2554" s="79"/>
      <c r="J2554" s="79"/>
      <c r="M2554" s="104"/>
      <c r="P2554" s="79"/>
      <c r="S2554" s="79"/>
      <c r="V2554" s="79"/>
    </row>
    <row r="2555" spans="7:22" x14ac:dyDescent="0.2">
      <c r="G2555" s="79"/>
      <c r="J2555" s="79"/>
      <c r="M2555" s="104"/>
      <c r="P2555" s="79"/>
      <c r="S2555" s="79"/>
      <c r="V2555" s="79"/>
    </row>
    <row r="2556" spans="7:22" x14ac:dyDescent="0.2">
      <c r="G2556" s="79"/>
      <c r="J2556" s="79"/>
      <c r="M2556" s="104"/>
      <c r="P2556" s="79"/>
      <c r="S2556" s="79"/>
      <c r="V2556" s="79"/>
    </row>
    <row r="2557" spans="7:22" x14ac:dyDescent="0.2">
      <c r="G2557" s="79"/>
      <c r="J2557" s="79"/>
      <c r="M2557" s="104"/>
      <c r="P2557" s="79"/>
      <c r="S2557" s="79"/>
      <c r="V2557" s="79"/>
    </row>
    <row r="2558" spans="7:22" x14ac:dyDescent="0.2">
      <c r="G2558" s="79"/>
      <c r="J2558" s="79"/>
      <c r="M2558" s="104"/>
      <c r="P2558" s="79"/>
      <c r="S2558" s="79"/>
      <c r="V2558" s="79"/>
    </row>
    <row r="2559" spans="7:22" x14ac:dyDescent="0.2">
      <c r="G2559" s="79"/>
      <c r="J2559" s="79"/>
      <c r="M2559" s="104"/>
      <c r="P2559" s="79"/>
      <c r="S2559" s="79"/>
      <c r="V2559" s="79"/>
    </row>
    <row r="2560" spans="7:22" x14ac:dyDescent="0.2">
      <c r="G2560" s="79"/>
      <c r="J2560" s="79"/>
      <c r="M2560" s="104"/>
      <c r="P2560" s="79"/>
      <c r="S2560" s="79"/>
      <c r="V2560" s="79"/>
    </row>
    <row r="2561" spans="7:22" x14ac:dyDescent="0.2">
      <c r="G2561" s="79"/>
      <c r="J2561" s="79"/>
      <c r="M2561" s="104"/>
      <c r="P2561" s="79"/>
      <c r="S2561" s="79"/>
      <c r="V2561" s="79"/>
    </row>
    <row r="2562" spans="7:22" x14ac:dyDescent="0.2">
      <c r="G2562" s="79"/>
      <c r="J2562" s="79"/>
      <c r="M2562" s="104"/>
      <c r="P2562" s="79"/>
      <c r="S2562" s="79"/>
      <c r="V2562" s="79"/>
    </row>
    <row r="2563" spans="7:22" x14ac:dyDescent="0.2">
      <c r="G2563" s="79"/>
      <c r="J2563" s="79"/>
      <c r="M2563" s="104"/>
      <c r="P2563" s="79"/>
      <c r="S2563" s="79"/>
      <c r="V2563" s="79"/>
    </row>
    <row r="2564" spans="7:22" x14ac:dyDescent="0.2">
      <c r="G2564" s="79"/>
      <c r="J2564" s="79"/>
      <c r="M2564" s="104"/>
      <c r="P2564" s="79"/>
      <c r="S2564" s="79"/>
      <c r="V2564" s="79"/>
    </row>
    <row r="2565" spans="7:22" x14ac:dyDescent="0.2">
      <c r="G2565" s="79"/>
      <c r="J2565" s="79"/>
      <c r="M2565" s="104"/>
      <c r="P2565" s="79"/>
      <c r="S2565" s="79"/>
      <c r="V2565" s="79"/>
    </row>
    <row r="2566" spans="7:22" x14ac:dyDescent="0.2">
      <c r="G2566" s="79"/>
      <c r="J2566" s="79"/>
      <c r="M2566" s="104"/>
      <c r="P2566" s="79"/>
      <c r="S2566" s="79"/>
      <c r="V2566" s="79"/>
    </row>
    <row r="2567" spans="7:22" x14ac:dyDescent="0.2">
      <c r="G2567" s="79"/>
      <c r="J2567" s="79"/>
      <c r="M2567" s="104"/>
      <c r="P2567" s="79"/>
      <c r="S2567" s="79"/>
      <c r="V2567" s="79"/>
    </row>
    <row r="2568" spans="7:22" x14ac:dyDescent="0.2">
      <c r="G2568" s="79"/>
      <c r="J2568" s="79"/>
      <c r="M2568" s="104"/>
      <c r="P2568" s="79"/>
      <c r="S2568" s="79"/>
      <c r="V2568" s="79"/>
    </row>
    <row r="2569" spans="7:22" x14ac:dyDescent="0.2">
      <c r="G2569" s="79"/>
      <c r="J2569" s="79"/>
      <c r="M2569" s="104"/>
      <c r="P2569" s="79"/>
      <c r="S2569" s="79"/>
      <c r="V2569" s="79"/>
    </row>
    <row r="2570" spans="7:22" x14ac:dyDescent="0.2">
      <c r="G2570" s="79"/>
      <c r="J2570" s="79"/>
      <c r="M2570" s="104"/>
      <c r="P2570" s="79"/>
      <c r="S2570" s="79"/>
      <c r="V2570" s="79"/>
    </row>
    <row r="2571" spans="7:22" x14ac:dyDescent="0.2">
      <c r="G2571" s="79"/>
      <c r="J2571" s="79"/>
      <c r="M2571" s="104"/>
      <c r="P2571" s="79"/>
      <c r="S2571" s="79"/>
      <c r="V2571" s="79"/>
    </row>
    <row r="2572" spans="7:22" x14ac:dyDescent="0.2">
      <c r="G2572" s="79"/>
      <c r="J2572" s="79"/>
      <c r="M2572" s="104"/>
      <c r="P2572" s="79"/>
      <c r="S2572" s="79"/>
      <c r="V2572" s="79"/>
    </row>
    <row r="2573" spans="7:22" x14ac:dyDescent="0.2">
      <c r="G2573" s="79"/>
      <c r="J2573" s="79"/>
      <c r="M2573" s="104"/>
      <c r="P2573" s="79"/>
      <c r="S2573" s="79"/>
      <c r="V2573" s="79"/>
    </row>
    <row r="2574" spans="7:22" x14ac:dyDescent="0.2">
      <c r="G2574" s="79"/>
      <c r="J2574" s="79"/>
      <c r="M2574" s="104"/>
      <c r="P2574" s="79"/>
      <c r="S2574" s="79"/>
      <c r="V2574" s="79"/>
    </row>
    <row r="2575" spans="7:22" x14ac:dyDescent="0.2">
      <c r="G2575" s="79"/>
      <c r="J2575" s="79"/>
      <c r="M2575" s="104"/>
      <c r="P2575" s="79"/>
      <c r="S2575" s="79"/>
      <c r="V2575" s="79"/>
    </row>
    <row r="2576" spans="7:22" x14ac:dyDescent="0.2">
      <c r="G2576" s="79"/>
      <c r="J2576" s="79"/>
      <c r="M2576" s="104"/>
      <c r="P2576" s="79"/>
      <c r="S2576" s="79"/>
      <c r="V2576" s="79"/>
    </row>
    <row r="2577" spans="7:22" x14ac:dyDescent="0.2">
      <c r="G2577" s="79"/>
      <c r="J2577" s="79"/>
      <c r="M2577" s="104"/>
      <c r="P2577" s="79"/>
      <c r="S2577" s="79"/>
      <c r="V2577" s="79"/>
    </row>
    <row r="2578" spans="7:22" x14ac:dyDescent="0.2">
      <c r="G2578" s="79"/>
      <c r="J2578" s="79"/>
      <c r="M2578" s="104"/>
      <c r="P2578" s="79"/>
      <c r="S2578" s="79"/>
      <c r="V2578" s="79"/>
    </row>
    <row r="2579" spans="7:22" x14ac:dyDescent="0.2">
      <c r="G2579" s="79"/>
      <c r="J2579" s="79"/>
      <c r="M2579" s="104"/>
      <c r="P2579" s="79"/>
      <c r="S2579" s="79"/>
      <c r="V2579" s="79"/>
    </row>
    <row r="2580" spans="7:22" x14ac:dyDescent="0.2">
      <c r="G2580" s="79"/>
      <c r="J2580" s="79"/>
      <c r="M2580" s="104"/>
      <c r="P2580" s="79"/>
      <c r="S2580" s="79"/>
      <c r="V2580" s="79"/>
    </row>
    <row r="2581" spans="7:22" x14ac:dyDescent="0.2">
      <c r="G2581" s="79"/>
      <c r="J2581" s="79"/>
      <c r="M2581" s="104"/>
      <c r="P2581" s="79"/>
      <c r="S2581" s="79"/>
      <c r="V2581" s="79"/>
    </row>
    <row r="2582" spans="7:22" x14ac:dyDescent="0.2">
      <c r="G2582" s="79"/>
      <c r="J2582" s="79"/>
      <c r="M2582" s="104"/>
      <c r="P2582" s="79"/>
      <c r="S2582" s="79"/>
      <c r="V2582" s="79"/>
    </row>
    <row r="2583" spans="7:22" x14ac:dyDescent="0.2">
      <c r="G2583" s="79"/>
      <c r="J2583" s="79"/>
      <c r="M2583" s="104"/>
      <c r="P2583" s="79"/>
      <c r="S2583" s="79"/>
      <c r="V2583" s="79"/>
    </row>
    <row r="2584" spans="7:22" x14ac:dyDescent="0.2">
      <c r="G2584" s="79"/>
      <c r="J2584" s="79"/>
      <c r="M2584" s="104"/>
      <c r="P2584" s="79"/>
      <c r="S2584" s="79"/>
      <c r="V2584" s="79"/>
    </row>
    <row r="2585" spans="7:22" x14ac:dyDescent="0.2">
      <c r="G2585" s="79"/>
      <c r="J2585" s="79"/>
      <c r="M2585" s="104"/>
      <c r="P2585" s="79"/>
      <c r="S2585" s="79"/>
      <c r="V2585" s="79"/>
    </row>
    <row r="2586" spans="7:22" x14ac:dyDescent="0.2">
      <c r="G2586" s="79"/>
      <c r="J2586" s="79"/>
      <c r="M2586" s="104"/>
      <c r="P2586" s="79"/>
      <c r="S2586" s="79"/>
      <c r="V2586" s="79"/>
    </row>
    <row r="2587" spans="7:22" x14ac:dyDescent="0.2">
      <c r="G2587" s="79"/>
      <c r="J2587" s="79"/>
      <c r="M2587" s="104"/>
      <c r="P2587" s="79"/>
      <c r="S2587" s="79"/>
      <c r="V2587" s="79"/>
    </row>
    <row r="2588" spans="7:22" x14ac:dyDescent="0.2">
      <c r="G2588" s="79"/>
      <c r="J2588" s="79"/>
      <c r="M2588" s="104"/>
      <c r="P2588" s="79"/>
      <c r="S2588" s="79"/>
      <c r="V2588" s="79"/>
    </row>
    <row r="2589" spans="7:22" x14ac:dyDescent="0.2">
      <c r="G2589" s="79"/>
      <c r="J2589" s="79"/>
      <c r="M2589" s="104"/>
      <c r="P2589" s="79"/>
      <c r="S2589" s="79"/>
      <c r="V2589" s="79"/>
    </row>
    <row r="2590" spans="7:22" x14ac:dyDescent="0.2">
      <c r="G2590" s="79"/>
      <c r="J2590" s="79"/>
      <c r="M2590" s="104"/>
      <c r="P2590" s="79"/>
      <c r="S2590" s="79"/>
      <c r="V2590" s="79"/>
    </row>
    <row r="2591" spans="7:22" x14ac:dyDescent="0.2">
      <c r="G2591" s="79"/>
      <c r="J2591" s="79"/>
      <c r="M2591" s="104"/>
      <c r="P2591" s="79"/>
      <c r="S2591" s="79"/>
      <c r="V2591" s="79"/>
    </row>
    <row r="2592" spans="7:22" x14ac:dyDescent="0.2">
      <c r="G2592" s="79"/>
      <c r="J2592" s="79"/>
      <c r="M2592" s="104"/>
      <c r="P2592" s="79"/>
      <c r="S2592" s="79"/>
      <c r="V2592" s="79"/>
    </row>
    <row r="2593" spans="7:22" x14ac:dyDescent="0.2">
      <c r="G2593" s="79"/>
      <c r="J2593" s="79"/>
      <c r="M2593" s="104"/>
      <c r="P2593" s="79"/>
      <c r="S2593" s="79"/>
      <c r="V2593" s="79"/>
    </row>
    <row r="2594" spans="7:22" x14ac:dyDescent="0.2">
      <c r="G2594" s="79"/>
      <c r="J2594" s="79"/>
      <c r="M2594" s="104"/>
      <c r="P2594" s="79"/>
      <c r="S2594" s="79"/>
      <c r="V2594" s="79"/>
    </row>
    <row r="2595" spans="7:22" x14ac:dyDescent="0.2">
      <c r="G2595" s="79"/>
      <c r="J2595" s="79"/>
      <c r="M2595" s="104"/>
      <c r="P2595" s="79"/>
      <c r="S2595" s="79"/>
      <c r="V2595" s="79"/>
    </row>
    <row r="2596" spans="7:22" x14ac:dyDescent="0.2">
      <c r="G2596" s="79"/>
      <c r="J2596" s="79"/>
      <c r="M2596" s="104"/>
      <c r="P2596" s="79"/>
      <c r="S2596" s="79"/>
      <c r="V2596" s="79"/>
    </row>
    <row r="2597" spans="7:22" x14ac:dyDescent="0.2">
      <c r="G2597" s="79"/>
      <c r="J2597" s="79"/>
      <c r="M2597" s="104"/>
      <c r="P2597" s="79"/>
      <c r="S2597" s="79"/>
      <c r="V2597" s="79"/>
    </row>
    <row r="2598" spans="7:22" x14ac:dyDescent="0.2">
      <c r="G2598" s="79"/>
      <c r="J2598" s="79"/>
      <c r="M2598" s="104"/>
      <c r="P2598" s="79"/>
      <c r="S2598" s="79"/>
      <c r="V2598" s="79"/>
    </row>
    <row r="2599" spans="7:22" x14ac:dyDescent="0.2">
      <c r="G2599" s="79"/>
      <c r="J2599" s="79"/>
      <c r="M2599" s="104"/>
      <c r="P2599" s="79"/>
      <c r="S2599" s="79"/>
      <c r="V2599" s="79"/>
    </row>
    <row r="2600" spans="7:22" x14ac:dyDescent="0.2">
      <c r="G2600" s="79"/>
      <c r="J2600" s="79"/>
      <c r="M2600" s="104"/>
      <c r="P2600" s="79"/>
      <c r="S2600" s="79"/>
      <c r="V2600" s="79"/>
    </row>
    <row r="2601" spans="7:22" x14ac:dyDescent="0.2">
      <c r="G2601" s="79"/>
      <c r="J2601" s="79"/>
      <c r="M2601" s="104"/>
      <c r="P2601" s="79"/>
      <c r="S2601" s="79"/>
      <c r="V2601" s="79"/>
    </row>
    <row r="2602" spans="7:22" x14ac:dyDescent="0.2">
      <c r="G2602" s="79"/>
      <c r="J2602" s="79"/>
      <c r="M2602" s="104"/>
      <c r="P2602" s="79"/>
      <c r="S2602" s="79"/>
      <c r="V2602" s="79"/>
    </row>
    <row r="2603" spans="7:22" x14ac:dyDescent="0.2">
      <c r="G2603" s="79"/>
      <c r="J2603" s="79"/>
      <c r="M2603" s="104"/>
      <c r="P2603" s="79"/>
      <c r="S2603" s="79"/>
      <c r="V2603" s="79"/>
    </row>
    <row r="2604" spans="7:22" x14ac:dyDescent="0.2">
      <c r="G2604" s="79"/>
      <c r="J2604" s="79"/>
      <c r="M2604" s="104"/>
      <c r="P2604" s="79"/>
      <c r="S2604" s="79"/>
      <c r="V2604" s="79"/>
    </row>
    <row r="2605" spans="7:22" x14ac:dyDescent="0.2">
      <c r="G2605" s="79"/>
      <c r="J2605" s="79"/>
      <c r="M2605" s="104"/>
      <c r="P2605" s="79"/>
      <c r="S2605" s="79"/>
      <c r="V2605" s="79"/>
    </row>
    <row r="2606" spans="7:22" x14ac:dyDescent="0.2">
      <c r="G2606" s="79"/>
      <c r="J2606" s="79"/>
      <c r="M2606" s="104"/>
      <c r="P2606" s="79"/>
      <c r="S2606" s="79"/>
      <c r="V2606" s="79"/>
    </row>
    <row r="2607" spans="7:22" x14ac:dyDescent="0.2">
      <c r="G2607" s="79"/>
      <c r="J2607" s="79"/>
      <c r="M2607" s="104"/>
      <c r="P2607" s="79"/>
      <c r="S2607" s="79"/>
      <c r="V2607" s="79"/>
    </row>
    <row r="2608" spans="7:22" x14ac:dyDescent="0.2">
      <c r="G2608" s="79"/>
      <c r="J2608" s="79"/>
      <c r="M2608" s="104"/>
      <c r="P2608" s="79"/>
      <c r="S2608" s="79"/>
      <c r="V2608" s="79"/>
    </row>
    <row r="2609" spans="7:22" x14ac:dyDescent="0.2">
      <c r="G2609" s="79"/>
      <c r="J2609" s="79"/>
      <c r="M2609" s="104"/>
      <c r="P2609" s="79"/>
      <c r="S2609" s="79"/>
      <c r="V2609" s="79"/>
    </row>
    <row r="2610" spans="7:22" x14ac:dyDescent="0.2">
      <c r="G2610" s="79"/>
      <c r="J2610" s="79"/>
      <c r="M2610" s="104"/>
      <c r="P2610" s="79"/>
      <c r="S2610" s="79"/>
      <c r="V2610" s="79"/>
    </row>
    <row r="2611" spans="7:22" x14ac:dyDescent="0.2">
      <c r="G2611" s="79"/>
      <c r="J2611" s="79"/>
      <c r="M2611" s="104"/>
      <c r="P2611" s="79"/>
      <c r="S2611" s="79"/>
      <c r="V2611" s="79"/>
    </row>
    <row r="2612" spans="7:22" x14ac:dyDescent="0.2">
      <c r="G2612" s="79"/>
      <c r="J2612" s="79"/>
      <c r="M2612" s="104"/>
      <c r="P2612" s="79"/>
      <c r="S2612" s="79"/>
      <c r="V2612" s="79"/>
    </row>
    <row r="2613" spans="7:22" x14ac:dyDescent="0.2">
      <c r="G2613" s="79"/>
      <c r="J2613" s="79"/>
      <c r="M2613" s="104"/>
      <c r="P2613" s="79"/>
      <c r="S2613" s="79"/>
      <c r="V2613" s="79"/>
    </row>
    <row r="2614" spans="7:22" x14ac:dyDescent="0.2">
      <c r="G2614" s="79"/>
      <c r="J2614" s="79"/>
      <c r="M2614" s="104"/>
      <c r="P2614" s="79"/>
      <c r="S2614" s="79"/>
      <c r="V2614" s="79"/>
    </row>
    <row r="2615" spans="7:22" x14ac:dyDescent="0.2">
      <c r="G2615" s="79"/>
      <c r="J2615" s="79"/>
      <c r="M2615" s="104"/>
      <c r="P2615" s="79"/>
      <c r="S2615" s="79"/>
      <c r="V2615" s="79"/>
    </row>
    <row r="2616" spans="7:22" x14ac:dyDescent="0.2">
      <c r="G2616" s="79"/>
      <c r="J2616" s="79"/>
      <c r="M2616" s="104"/>
      <c r="P2616" s="79"/>
      <c r="S2616" s="79"/>
      <c r="V2616" s="79"/>
    </row>
    <row r="2617" spans="7:22" x14ac:dyDescent="0.2">
      <c r="G2617" s="79"/>
      <c r="J2617" s="79"/>
      <c r="M2617" s="104"/>
      <c r="P2617" s="79"/>
      <c r="S2617" s="79"/>
      <c r="V2617" s="79"/>
    </row>
    <row r="2618" spans="7:22" x14ac:dyDescent="0.2">
      <c r="G2618" s="79"/>
      <c r="J2618" s="79"/>
      <c r="M2618" s="104"/>
      <c r="P2618" s="79"/>
      <c r="S2618" s="79"/>
      <c r="V2618" s="79"/>
    </row>
    <row r="2619" spans="7:22" x14ac:dyDescent="0.2">
      <c r="G2619" s="79"/>
      <c r="J2619" s="79"/>
      <c r="M2619" s="104"/>
      <c r="P2619" s="79"/>
      <c r="S2619" s="79"/>
      <c r="V2619" s="79"/>
    </row>
    <row r="2620" spans="7:22" x14ac:dyDescent="0.2">
      <c r="G2620" s="79"/>
      <c r="J2620" s="79"/>
      <c r="M2620" s="104"/>
      <c r="P2620" s="79"/>
      <c r="S2620" s="79"/>
      <c r="V2620" s="79"/>
    </row>
    <row r="2621" spans="7:22" x14ac:dyDescent="0.2">
      <c r="G2621" s="79"/>
      <c r="J2621" s="79"/>
      <c r="M2621" s="104"/>
      <c r="P2621" s="79"/>
      <c r="S2621" s="79"/>
      <c r="V2621" s="79"/>
    </row>
    <row r="2622" spans="7:22" x14ac:dyDescent="0.2">
      <c r="G2622" s="79"/>
      <c r="J2622" s="79"/>
      <c r="M2622" s="104"/>
      <c r="P2622" s="79"/>
      <c r="S2622" s="79"/>
      <c r="V2622" s="79"/>
    </row>
    <row r="2623" spans="7:22" x14ac:dyDescent="0.2">
      <c r="G2623" s="79"/>
      <c r="J2623" s="79"/>
      <c r="M2623" s="104"/>
      <c r="P2623" s="79"/>
      <c r="S2623" s="79"/>
      <c r="V2623" s="79"/>
    </row>
    <row r="2624" spans="7:22" x14ac:dyDescent="0.2">
      <c r="G2624" s="79"/>
      <c r="J2624" s="79"/>
      <c r="M2624" s="104"/>
      <c r="P2624" s="79"/>
      <c r="S2624" s="79"/>
      <c r="V2624" s="79"/>
    </row>
    <row r="2625" spans="7:22" x14ac:dyDescent="0.2">
      <c r="G2625" s="79"/>
      <c r="J2625" s="79"/>
      <c r="M2625" s="104"/>
      <c r="P2625" s="79"/>
      <c r="S2625" s="79"/>
      <c r="V2625" s="79"/>
    </row>
    <row r="2626" spans="7:22" x14ac:dyDescent="0.2">
      <c r="G2626" s="79"/>
      <c r="J2626" s="79"/>
      <c r="M2626" s="104"/>
      <c r="P2626" s="79"/>
      <c r="S2626" s="79"/>
      <c r="V2626" s="79"/>
    </row>
    <row r="2627" spans="7:22" x14ac:dyDescent="0.2">
      <c r="G2627" s="79"/>
      <c r="J2627" s="79"/>
      <c r="M2627" s="104"/>
      <c r="P2627" s="79"/>
      <c r="S2627" s="79"/>
      <c r="V2627" s="79"/>
    </row>
    <row r="2628" spans="7:22" x14ac:dyDescent="0.2">
      <c r="G2628" s="79"/>
      <c r="J2628" s="79"/>
      <c r="M2628" s="104"/>
      <c r="P2628" s="79"/>
      <c r="S2628" s="79"/>
      <c r="V2628" s="79"/>
    </row>
    <row r="2629" spans="7:22" x14ac:dyDescent="0.2">
      <c r="G2629" s="79"/>
      <c r="J2629" s="79"/>
      <c r="M2629" s="104"/>
      <c r="P2629" s="79"/>
      <c r="S2629" s="79"/>
      <c r="V2629" s="79"/>
    </row>
    <row r="2630" spans="7:22" x14ac:dyDescent="0.2">
      <c r="G2630" s="79"/>
      <c r="J2630" s="79"/>
      <c r="M2630" s="104"/>
      <c r="P2630" s="79"/>
      <c r="S2630" s="79"/>
      <c r="V2630" s="79"/>
    </row>
    <row r="2631" spans="7:22" x14ac:dyDescent="0.2">
      <c r="G2631" s="79"/>
      <c r="J2631" s="79"/>
      <c r="M2631" s="104"/>
      <c r="P2631" s="79"/>
      <c r="S2631" s="79"/>
      <c r="V2631" s="79"/>
    </row>
    <row r="2632" spans="7:22" x14ac:dyDescent="0.2">
      <c r="G2632" s="79"/>
      <c r="J2632" s="79"/>
      <c r="M2632" s="104"/>
      <c r="P2632" s="79"/>
      <c r="S2632" s="79"/>
      <c r="V2632" s="79"/>
    </row>
    <row r="2633" spans="7:22" x14ac:dyDescent="0.2">
      <c r="G2633" s="79"/>
      <c r="J2633" s="79"/>
      <c r="M2633" s="104"/>
      <c r="P2633" s="79"/>
      <c r="S2633" s="79"/>
      <c r="V2633" s="79"/>
    </row>
    <row r="2634" spans="7:22" x14ac:dyDescent="0.2">
      <c r="G2634" s="79"/>
      <c r="J2634" s="79"/>
      <c r="M2634" s="104"/>
      <c r="P2634" s="79"/>
      <c r="S2634" s="79"/>
      <c r="V2634" s="79"/>
    </row>
    <row r="2635" spans="7:22" x14ac:dyDescent="0.2">
      <c r="G2635" s="79"/>
      <c r="J2635" s="79"/>
      <c r="M2635" s="104"/>
      <c r="P2635" s="79"/>
      <c r="S2635" s="79"/>
      <c r="V2635" s="79"/>
    </row>
    <row r="2636" spans="7:22" x14ac:dyDescent="0.2">
      <c r="G2636" s="79"/>
      <c r="J2636" s="79"/>
      <c r="M2636" s="104"/>
      <c r="P2636" s="79"/>
      <c r="S2636" s="79"/>
      <c r="V2636" s="79"/>
    </row>
    <row r="2637" spans="7:22" x14ac:dyDescent="0.2">
      <c r="G2637" s="79"/>
      <c r="J2637" s="79"/>
      <c r="M2637" s="104"/>
      <c r="P2637" s="79"/>
      <c r="S2637" s="79"/>
      <c r="V2637" s="79"/>
    </row>
    <row r="2638" spans="7:22" x14ac:dyDescent="0.2">
      <c r="G2638" s="79"/>
      <c r="J2638" s="79"/>
      <c r="M2638" s="104"/>
      <c r="P2638" s="79"/>
      <c r="S2638" s="79"/>
      <c r="V2638" s="79"/>
    </row>
    <row r="2639" spans="7:22" x14ac:dyDescent="0.2">
      <c r="G2639" s="79"/>
      <c r="J2639" s="79"/>
      <c r="M2639" s="104"/>
      <c r="P2639" s="79"/>
      <c r="S2639" s="79"/>
      <c r="V2639" s="79"/>
    </row>
    <row r="2640" spans="7:22" x14ac:dyDescent="0.2">
      <c r="G2640" s="79"/>
      <c r="J2640" s="79"/>
      <c r="M2640" s="104"/>
      <c r="P2640" s="79"/>
      <c r="S2640" s="79"/>
      <c r="V2640" s="79"/>
    </row>
    <row r="2641" spans="7:22" x14ac:dyDescent="0.2">
      <c r="G2641" s="79"/>
      <c r="J2641" s="79"/>
      <c r="M2641" s="104"/>
      <c r="P2641" s="79"/>
      <c r="S2641" s="79"/>
      <c r="V2641" s="79"/>
    </row>
    <row r="2642" spans="7:22" x14ac:dyDescent="0.2">
      <c r="G2642" s="79"/>
      <c r="J2642" s="79"/>
      <c r="M2642" s="104"/>
      <c r="P2642" s="79"/>
      <c r="S2642" s="79"/>
      <c r="V2642" s="79"/>
    </row>
    <row r="2643" spans="7:22" x14ac:dyDescent="0.2">
      <c r="G2643" s="79"/>
      <c r="J2643" s="79"/>
      <c r="M2643" s="104"/>
      <c r="P2643" s="79"/>
      <c r="S2643" s="79"/>
      <c r="V2643" s="79"/>
    </row>
    <row r="2644" spans="7:22" x14ac:dyDescent="0.2">
      <c r="G2644" s="79"/>
      <c r="J2644" s="79"/>
      <c r="M2644" s="104"/>
      <c r="P2644" s="79"/>
      <c r="S2644" s="79"/>
      <c r="V2644" s="79"/>
    </row>
    <row r="2645" spans="7:22" x14ac:dyDescent="0.2">
      <c r="G2645" s="79"/>
      <c r="J2645" s="79"/>
      <c r="M2645" s="104"/>
      <c r="P2645" s="79"/>
      <c r="S2645" s="79"/>
      <c r="V2645" s="79"/>
    </row>
    <row r="2646" spans="7:22" x14ac:dyDescent="0.2">
      <c r="G2646" s="79"/>
      <c r="J2646" s="79"/>
      <c r="M2646" s="104"/>
      <c r="P2646" s="79"/>
      <c r="S2646" s="79"/>
      <c r="V2646" s="79"/>
    </row>
    <row r="2647" spans="7:22" x14ac:dyDescent="0.2">
      <c r="G2647" s="79"/>
      <c r="J2647" s="79"/>
      <c r="M2647" s="104"/>
      <c r="P2647" s="79"/>
      <c r="S2647" s="79"/>
      <c r="V2647" s="79"/>
    </row>
    <row r="2648" spans="7:22" x14ac:dyDescent="0.2">
      <c r="G2648" s="79"/>
      <c r="J2648" s="79"/>
      <c r="M2648" s="104"/>
      <c r="P2648" s="79"/>
      <c r="S2648" s="79"/>
      <c r="V2648" s="79"/>
    </row>
    <row r="2649" spans="7:22" x14ac:dyDescent="0.2">
      <c r="G2649" s="79"/>
      <c r="J2649" s="79"/>
      <c r="M2649" s="104"/>
      <c r="P2649" s="79"/>
      <c r="S2649" s="79"/>
      <c r="V2649" s="79"/>
    </row>
    <row r="2650" spans="7:22" x14ac:dyDescent="0.2">
      <c r="G2650" s="79"/>
      <c r="J2650" s="79"/>
      <c r="M2650" s="104"/>
      <c r="P2650" s="79"/>
      <c r="S2650" s="79"/>
      <c r="V2650" s="79"/>
    </row>
    <row r="2651" spans="7:22" x14ac:dyDescent="0.2">
      <c r="G2651" s="79"/>
      <c r="J2651" s="79"/>
      <c r="M2651" s="104"/>
      <c r="P2651" s="79"/>
      <c r="S2651" s="79"/>
      <c r="V2651" s="79"/>
    </row>
    <row r="2652" spans="7:22" x14ac:dyDescent="0.2">
      <c r="G2652" s="79"/>
      <c r="J2652" s="79"/>
      <c r="M2652" s="104"/>
      <c r="P2652" s="79"/>
      <c r="S2652" s="79"/>
      <c r="V2652" s="79"/>
    </row>
    <row r="2653" spans="7:22" x14ac:dyDescent="0.2">
      <c r="G2653" s="79"/>
      <c r="J2653" s="79"/>
      <c r="M2653" s="104"/>
      <c r="P2653" s="79"/>
      <c r="S2653" s="79"/>
      <c r="V2653" s="79"/>
    </row>
    <row r="2654" spans="7:22" x14ac:dyDescent="0.2">
      <c r="G2654" s="79"/>
      <c r="J2654" s="79"/>
      <c r="M2654" s="104"/>
      <c r="P2654" s="79"/>
      <c r="S2654" s="79"/>
      <c r="V2654" s="79"/>
    </row>
    <row r="2655" spans="7:22" x14ac:dyDescent="0.2">
      <c r="G2655" s="79"/>
      <c r="J2655" s="79"/>
      <c r="M2655" s="104"/>
      <c r="P2655" s="79"/>
      <c r="S2655" s="79"/>
      <c r="V2655" s="79"/>
    </row>
    <row r="2656" spans="7:22" x14ac:dyDescent="0.2">
      <c r="G2656" s="79"/>
      <c r="J2656" s="79"/>
      <c r="M2656" s="104"/>
      <c r="P2656" s="79"/>
      <c r="S2656" s="79"/>
      <c r="V2656" s="79"/>
    </row>
    <row r="2657" spans="7:22" x14ac:dyDescent="0.2">
      <c r="G2657" s="79"/>
      <c r="J2657" s="79"/>
      <c r="M2657" s="104"/>
      <c r="P2657" s="79"/>
      <c r="S2657" s="79"/>
      <c r="V2657" s="79"/>
    </row>
    <row r="2658" spans="7:22" x14ac:dyDescent="0.2">
      <c r="G2658" s="79"/>
      <c r="J2658" s="79"/>
      <c r="M2658" s="104"/>
      <c r="P2658" s="79"/>
      <c r="S2658" s="79"/>
      <c r="V2658" s="79"/>
    </row>
    <row r="2659" spans="7:22" x14ac:dyDescent="0.2">
      <c r="G2659" s="79"/>
      <c r="J2659" s="79"/>
      <c r="M2659" s="104"/>
      <c r="P2659" s="79"/>
      <c r="S2659" s="79"/>
      <c r="V2659" s="79"/>
    </row>
    <row r="2660" spans="7:22" x14ac:dyDescent="0.2">
      <c r="G2660" s="79"/>
      <c r="J2660" s="79"/>
      <c r="M2660" s="104"/>
      <c r="P2660" s="79"/>
      <c r="S2660" s="79"/>
      <c r="V2660" s="79"/>
    </row>
    <row r="2661" spans="7:22" x14ac:dyDescent="0.2">
      <c r="G2661" s="79"/>
      <c r="J2661" s="79"/>
      <c r="M2661" s="104"/>
      <c r="P2661" s="79"/>
      <c r="S2661" s="79"/>
      <c r="V2661" s="79"/>
    </row>
    <row r="2662" spans="7:22" x14ac:dyDescent="0.2">
      <c r="G2662" s="79"/>
      <c r="J2662" s="79"/>
      <c r="M2662" s="104"/>
      <c r="P2662" s="79"/>
      <c r="S2662" s="79"/>
      <c r="V2662" s="79"/>
    </row>
    <row r="2663" spans="7:22" x14ac:dyDescent="0.2">
      <c r="G2663" s="79"/>
      <c r="J2663" s="79"/>
      <c r="M2663" s="104"/>
      <c r="P2663" s="79"/>
      <c r="S2663" s="79"/>
      <c r="V2663" s="79"/>
    </row>
    <row r="2664" spans="7:22" x14ac:dyDescent="0.2">
      <c r="G2664" s="79"/>
      <c r="J2664" s="79"/>
      <c r="M2664" s="104"/>
      <c r="P2664" s="79"/>
      <c r="S2664" s="79"/>
      <c r="V2664" s="79"/>
    </row>
    <row r="2665" spans="7:22" x14ac:dyDescent="0.2">
      <c r="G2665" s="79"/>
      <c r="J2665" s="79"/>
      <c r="M2665" s="104"/>
      <c r="P2665" s="79"/>
      <c r="S2665" s="79"/>
      <c r="V2665" s="79"/>
    </row>
    <row r="2666" spans="7:22" x14ac:dyDescent="0.2">
      <c r="G2666" s="79"/>
      <c r="J2666" s="79"/>
      <c r="M2666" s="104"/>
      <c r="P2666" s="79"/>
      <c r="S2666" s="79"/>
      <c r="V2666" s="79"/>
    </row>
    <row r="2667" spans="7:22" x14ac:dyDescent="0.2">
      <c r="G2667" s="79"/>
      <c r="J2667" s="79"/>
      <c r="M2667" s="104"/>
      <c r="P2667" s="79"/>
      <c r="S2667" s="79"/>
      <c r="V2667" s="79"/>
    </row>
    <row r="2668" spans="7:22" x14ac:dyDescent="0.2">
      <c r="G2668" s="79"/>
      <c r="J2668" s="79"/>
      <c r="M2668" s="104"/>
      <c r="P2668" s="79"/>
      <c r="S2668" s="79"/>
      <c r="V2668" s="79"/>
    </row>
    <row r="2669" spans="7:22" x14ac:dyDescent="0.2">
      <c r="G2669" s="79"/>
      <c r="J2669" s="79"/>
      <c r="M2669" s="104"/>
      <c r="P2669" s="79"/>
      <c r="S2669" s="79"/>
      <c r="V2669" s="79"/>
    </row>
    <row r="2670" spans="7:22" x14ac:dyDescent="0.2">
      <c r="G2670" s="79"/>
      <c r="J2670" s="79"/>
      <c r="M2670" s="104"/>
      <c r="P2670" s="79"/>
      <c r="S2670" s="79"/>
      <c r="V2670" s="79"/>
    </row>
    <row r="2671" spans="7:22" x14ac:dyDescent="0.2">
      <c r="G2671" s="79"/>
      <c r="J2671" s="79"/>
      <c r="M2671" s="104"/>
      <c r="P2671" s="79"/>
      <c r="S2671" s="79"/>
      <c r="V2671" s="79"/>
    </row>
    <row r="2672" spans="7:22" x14ac:dyDescent="0.2">
      <c r="G2672" s="79"/>
      <c r="J2672" s="79"/>
      <c r="M2672" s="104"/>
      <c r="P2672" s="79"/>
      <c r="S2672" s="79"/>
      <c r="V2672" s="79"/>
    </row>
    <row r="2673" spans="7:22" x14ac:dyDescent="0.2">
      <c r="G2673" s="79"/>
      <c r="J2673" s="79"/>
      <c r="M2673" s="104"/>
      <c r="P2673" s="79"/>
      <c r="S2673" s="79"/>
      <c r="V2673" s="79"/>
    </row>
    <row r="2674" spans="7:22" x14ac:dyDescent="0.2">
      <c r="G2674" s="79"/>
      <c r="J2674" s="79"/>
      <c r="M2674" s="104"/>
      <c r="P2674" s="79"/>
      <c r="S2674" s="79"/>
      <c r="V2674" s="79"/>
    </row>
    <row r="2675" spans="7:22" x14ac:dyDescent="0.2">
      <c r="G2675" s="79"/>
      <c r="J2675" s="79"/>
      <c r="M2675" s="104"/>
      <c r="P2675" s="79"/>
      <c r="S2675" s="79"/>
      <c r="V2675" s="79"/>
    </row>
    <row r="2676" spans="7:22" x14ac:dyDescent="0.2">
      <c r="G2676" s="79"/>
      <c r="J2676" s="79"/>
      <c r="M2676" s="104"/>
      <c r="P2676" s="79"/>
      <c r="S2676" s="79"/>
      <c r="V2676" s="79"/>
    </row>
    <row r="2677" spans="7:22" x14ac:dyDescent="0.2">
      <c r="G2677" s="79"/>
      <c r="J2677" s="79"/>
      <c r="M2677" s="104"/>
      <c r="P2677" s="79"/>
      <c r="S2677" s="79"/>
      <c r="V2677" s="79"/>
    </row>
    <row r="2678" spans="7:22" x14ac:dyDescent="0.2">
      <c r="G2678" s="79"/>
      <c r="J2678" s="79"/>
      <c r="M2678" s="104"/>
      <c r="P2678" s="79"/>
      <c r="S2678" s="79"/>
      <c r="V2678" s="79"/>
    </row>
    <row r="2679" spans="7:22" x14ac:dyDescent="0.2">
      <c r="G2679" s="79"/>
      <c r="J2679" s="79"/>
      <c r="M2679" s="104"/>
      <c r="P2679" s="79"/>
      <c r="S2679" s="79"/>
      <c r="V2679" s="79"/>
    </row>
    <row r="2680" spans="7:22" x14ac:dyDescent="0.2">
      <c r="G2680" s="79"/>
      <c r="J2680" s="79"/>
      <c r="M2680" s="104"/>
      <c r="P2680" s="79"/>
      <c r="S2680" s="79"/>
      <c r="V2680" s="79"/>
    </row>
    <row r="2681" spans="7:22" x14ac:dyDescent="0.2">
      <c r="G2681" s="79"/>
      <c r="J2681" s="79"/>
      <c r="M2681" s="104"/>
      <c r="P2681" s="79"/>
      <c r="S2681" s="79"/>
      <c r="V2681" s="79"/>
    </row>
    <row r="2682" spans="7:22" x14ac:dyDescent="0.2">
      <c r="G2682" s="79"/>
      <c r="J2682" s="79"/>
      <c r="M2682" s="104"/>
      <c r="P2682" s="79"/>
      <c r="S2682" s="79"/>
      <c r="V2682" s="79"/>
    </row>
    <row r="2683" spans="7:22" x14ac:dyDescent="0.2">
      <c r="G2683" s="79"/>
      <c r="J2683" s="79"/>
      <c r="M2683" s="104"/>
      <c r="P2683" s="79"/>
      <c r="S2683" s="79"/>
      <c r="V2683" s="79"/>
    </row>
    <row r="2684" spans="7:22" x14ac:dyDescent="0.2">
      <c r="G2684" s="79"/>
      <c r="J2684" s="79"/>
      <c r="M2684" s="104"/>
      <c r="P2684" s="79"/>
      <c r="S2684" s="79"/>
      <c r="V2684" s="79"/>
    </row>
    <row r="2685" spans="7:22" x14ac:dyDescent="0.2">
      <c r="G2685" s="79"/>
      <c r="J2685" s="79"/>
      <c r="M2685" s="104"/>
      <c r="P2685" s="79"/>
      <c r="S2685" s="79"/>
      <c r="V2685" s="79"/>
    </row>
    <row r="2686" spans="7:22" x14ac:dyDescent="0.2">
      <c r="G2686" s="79"/>
      <c r="J2686" s="79"/>
      <c r="M2686" s="104"/>
      <c r="P2686" s="79"/>
      <c r="S2686" s="79"/>
      <c r="V2686" s="79"/>
    </row>
    <row r="2687" spans="7:22" x14ac:dyDescent="0.2">
      <c r="G2687" s="79"/>
      <c r="J2687" s="79"/>
      <c r="M2687" s="104"/>
      <c r="P2687" s="79"/>
      <c r="S2687" s="79"/>
      <c r="V2687" s="79"/>
    </row>
    <row r="2688" spans="7:22" x14ac:dyDescent="0.2">
      <c r="G2688" s="79"/>
      <c r="J2688" s="79"/>
      <c r="M2688" s="104"/>
      <c r="P2688" s="79"/>
      <c r="S2688" s="79"/>
      <c r="V2688" s="79"/>
    </row>
    <row r="2689" spans="7:22" x14ac:dyDescent="0.2">
      <c r="G2689" s="79"/>
      <c r="J2689" s="79"/>
      <c r="M2689" s="104"/>
      <c r="P2689" s="79"/>
      <c r="S2689" s="79"/>
      <c r="V2689" s="79"/>
    </row>
    <row r="2690" spans="7:22" x14ac:dyDescent="0.2">
      <c r="G2690" s="79"/>
      <c r="J2690" s="79"/>
      <c r="M2690" s="104"/>
      <c r="P2690" s="79"/>
      <c r="S2690" s="79"/>
      <c r="V2690" s="79"/>
    </row>
    <row r="2691" spans="7:22" x14ac:dyDescent="0.2">
      <c r="G2691" s="79"/>
      <c r="J2691" s="79"/>
      <c r="M2691" s="104"/>
      <c r="P2691" s="79"/>
      <c r="S2691" s="79"/>
      <c r="V2691" s="79"/>
    </row>
    <row r="2692" spans="7:22" x14ac:dyDescent="0.2">
      <c r="G2692" s="79"/>
      <c r="J2692" s="79"/>
      <c r="M2692" s="104"/>
      <c r="P2692" s="79"/>
      <c r="S2692" s="79"/>
      <c r="V2692" s="79"/>
    </row>
    <row r="2693" spans="7:22" x14ac:dyDescent="0.2">
      <c r="G2693" s="79"/>
      <c r="J2693" s="79"/>
      <c r="M2693" s="104"/>
      <c r="P2693" s="79"/>
      <c r="S2693" s="79"/>
      <c r="V2693" s="79"/>
    </row>
    <row r="2694" spans="7:22" x14ac:dyDescent="0.2">
      <c r="G2694" s="79"/>
      <c r="J2694" s="79"/>
      <c r="M2694" s="104"/>
      <c r="P2694" s="79"/>
      <c r="S2694" s="79"/>
      <c r="V2694" s="79"/>
    </row>
    <row r="2695" spans="7:22" x14ac:dyDescent="0.2">
      <c r="G2695" s="79"/>
      <c r="J2695" s="79"/>
      <c r="M2695" s="104"/>
      <c r="P2695" s="79"/>
      <c r="S2695" s="79"/>
      <c r="V2695" s="79"/>
    </row>
    <row r="2696" spans="7:22" x14ac:dyDescent="0.2">
      <c r="G2696" s="79"/>
      <c r="J2696" s="79"/>
      <c r="M2696" s="104"/>
      <c r="P2696" s="79"/>
      <c r="S2696" s="79"/>
      <c r="V2696" s="79"/>
    </row>
    <row r="2697" spans="7:22" x14ac:dyDescent="0.2">
      <c r="G2697" s="79"/>
      <c r="J2697" s="79"/>
      <c r="M2697" s="104"/>
      <c r="P2697" s="79"/>
      <c r="S2697" s="79"/>
      <c r="V2697" s="79"/>
    </row>
    <row r="2698" spans="7:22" x14ac:dyDescent="0.2">
      <c r="G2698" s="79"/>
      <c r="J2698" s="79"/>
      <c r="M2698" s="104"/>
      <c r="P2698" s="79"/>
      <c r="S2698" s="79"/>
      <c r="V2698" s="79"/>
    </row>
    <row r="2699" spans="7:22" x14ac:dyDescent="0.2">
      <c r="G2699" s="79"/>
      <c r="J2699" s="79"/>
      <c r="M2699" s="104"/>
      <c r="P2699" s="79"/>
      <c r="S2699" s="79"/>
      <c r="V2699" s="79"/>
    </row>
    <row r="2700" spans="7:22" x14ac:dyDescent="0.2">
      <c r="G2700" s="79"/>
      <c r="J2700" s="79"/>
      <c r="M2700" s="104"/>
      <c r="P2700" s="79"/>
      <c r="S2700" s="79"/>
      <c r="V2700" s="79"/>
    </row>
    <row r="2701" spans="7:22" x14ac:dyDescent="0.2">
      <c r="G2701" s="79"/>
      <c r="J2701" s="79"/>
      <c r="M2701" s="104"/>
      <c r="P2701" s="79"/>
      <c r="S2701" s="79"/>
      <c r="V2701" s="79"/>
    </row>
    <row r="2702" spans="7:22" x14ac:dyDescent="0.2">
      <c r="G2702" s="79"/>
      <c r="J2702" s="79"/>
      <c r="M2702" s="104"/>
      <c r="P2702" s="79"/>
      <c r="S2702" s="79"/>
      <c r="V2702" s="79"/>
    </row>
    <row r="2703" spans="7:22" x14ac:dyDescent="0.2">
      <c r="G2703" s="79"/>
      <c r="J2703" s="79"/>
      <c r="M2703" s="104"/>
      <c r="P2703" s="79"/>
      <c r="S2703" s="79"/>
      <c r="V2703" s="79"/>
    </row>
    <row r="2704" spans="7:22" x14ac:dyDescent="0.2">
      <c r="G2704" s="79"/>
      <c r="J2704" s="79"/>
      <c r="M2704" s="104"/>
      <c r="P2704" s="79"/>
      <c r="S2704" s="79"/>
      <c r="V2704" s="79"/>
    </row>
    <row r="2705" spans="7:22" x14ac:dyDescent="0.2">
      <c r="G2705" s="79"/>
      <c r="J2705" s="79"/>
      <c r="M2705" s="104"/>
      <c r="P2705" s="79"/>
      <c r="S2705" s="79"/>
      <c r="V2705" s="79"/>
    </row>
    <row r="2706" spans="7:22" x14ac:dyDescent="0.2">
      <c r="G2706" s="79"/>
      <c r="J2706" s="79"/>
      <c r="M2706" s="104"/>
      <c r="P2706" s="79"/>
      <c r="S2706" s="79"/>
      <c r="V2706" s="79"/>
    </row>
    <row r="2707" spans="7:22" x14ac:dyDescent="0.2">
      <c r="G2707" s="79"/>
      <c r="J2707" s="79"/>
      <c r="M2707" s="104"/>
      <c r="P2707" s="79"/>
      <c r="S2707" s="79"/>
      <c r="V2707" s="79"/>
    </row>
    <row r="2708" spans="7:22" x14ac:dyDescent="0.2">
      <c r="G2708" s="79"/>
      <c r="J2708" s="79"/>
      <c r="M2708" s="104"/>
      <c r="P2708" s="79"/>
      <c r="S2708" s="79"/>
      <c r="V2708" s="79"/>
    </row>
    <row r="2709" spans="7:22" x14ac:dyDescent="0.2">
      <c r="G2709" s="79"/>
      <c r="J2709" s="79"/>
      <c r="M2709" s="104"/>
      <c r="P2709" s="79"/>
      <c r="S2709" s="79"/>
      <c r="V2709" s="79"/>
    </row>
    <row r="2710" spans="7:22" x14ac:dyDescent="0.2">
      <c r="G2710" s="79"/>
      <c r="J2710" s="79"/>
      <c r="M2710" s="104"/>
      <c r="P2710" s="79"/>
      <c r="S2710" s="79"/>
      <c r="V2710" s="79"/>
    </row>
    <row r="2711" spans="7:22" x14ac:dyDescent="0.2">
      <c r="G2711" s="79"/>
      <c r="J2711" s="79"/>
      <c r="M2711" s="104"/>
      <c r="P2711" s="79"/>
      <c r="S2711" s="79"/>
      <c r="V2711" s="79"/>
    </row>
    <row r="2712" spans="7:22" x14ac:dyDescent="0.2">
      <c r="G2712" s="79"/>
      <c r="J2712" s="79"/>
      <c r="M2712" s="104"/>
      <c r="P2712" s="79"/>
      <c r="S2712" s="79"/>
      <c r="V2712" s="79"/>
    </row>
    <row r="2713" spans="7:22" x14ac:dyDescent="0.2">
      <c r="G2713" s="79"/>
      <c r="J2713" s="79"/>
      <c r="M2713" s="104"/>
      <c r="P2713" s="79"/>
      <c r="S2713" s="79"/>
      <c r="V2713" s="79"/>
    </row>
    <row r="2714" spans="7:22" x14ac:dyDescent="0.2">
      <c r="G2714" s="79"/>
      <c r="J2714" s="79"/>
      <c r="M2714" s="104"/>
      <c r="P2714" s="79"/>
      <c r="S2714" s="79"/>
      <c r="V2714" s="79"/>
    </row>
    <row r="2715" spans="7:22" x14ac:dyDescent="0.2">
      <c r="G2715" s="79"/>
      <c r="J2715" s="79"/>
      <c r="M2715" s="104"/>
      <c r="P2715" s="79"/>
      <c r="S2715" s="79"/>
      <c r="V2715" s="79"/>
    </row>
    <row r="2716" spans="7:22" x14ac:dyDescent="0.2">
      <c r="G2716" s="79"/>
      <c r="J2716" s="79"/>
      <c r="M2716" s="104"/>
      <c r="P2716" s="79"/>
      <c r="S2716" s="79"/>
      <c r="V2716" s="79"/>
    </row>
    <row r="2717" spans="7:22" x14ac:dyDescent="0.2">
      <c r="G2717" s="79"/>
      <c r="J2717" s="79"/>
      <c r="M2717" s="104"/>
      <c r="P2717" s="79"/>
      <c r="S2717" s="79"/>
      <c r="V2717" s="79"/>
    </row>
    <row r="2718" spans="7:22" x14ac:dyDescent="0.2">
      <c r="G2718" s="79"/>
      <c r="J2718" s="79"/>
      <c r="M2718" s="104"/>
      <c r="P2718" s="79"/>
      <c r="S2718" s="79"/>
      <c r="V2718" s="79"/>
    </row>
    <row r="2719" spans="7:22" x14ac:dyDescent="0.2">
      <c r="G2719" s="79"/>
      <c r="J2719" s="79"/>
      <c r="M2719" s="104"/>
      <c r="P2719" s="79"/>
      <c r="S2719" s="79"/>
      <c r="V2719" s="79"/>
    </row>
    <row r="2720" spans="7:22" x14ac:dyDescent="0.2">
      <c r="G2720" s="79"/>
      <c r="J2720" s="79"/>
      <c r="M2720" s="104"/>
      <c r="P2720" s="79"/>
      <c r="S2720" s="79"/>
      <c r="V2720" s="79"/>
    </row>
    <row r="2721" spans="7:22" x14ac:dyDescent="0.2">
      <c r="G2721" s="79"/>
      <c r="J2721" s="79"/>
      <c r="M2721" s="104"/>
      <c r="P2721" s="79"/>
      <c r="S2721" s="79"/>
      <c r="V2721" s="79"/>
    </row>
    <row r="2722" spans="7:22" x14ac:dyDescent="0.2">
      <c r="G2722" s="79"/>
      <c r="J2722" s="79"/>
      <c r="M2722" s="104"/>
      <c r="P2722" s="79"/>
      <c r="S2722" s="79"/>
      <c r="V2722" s="79"/>
    </row>
    <row r="2723" spans="7:22" x14ac:dyDescent="0.2">
      <c r="G2723" s="79"/>
      <c r="J2723" s="79"/>
      <c r="M2723" s="104"/>
      <c r="P2723" s="79"/>
      <c r="S2723" s="79"/>
      <c r="V2723" s="79"/>
    </row>
    <row r="2724" spans="7:22" x14ac:dyDescent="0.2">
      <c r="G2724" s="79"/>
      <c r="J2724" s="79"/>
      <c r="M2724" s="104"/>
      <c r="P2724" s="79"/>
      <c r="S2724" s="79"/>
      <c r="V2724" s="79"/>
    </row>
    <row r="2725" spans="7:22" x14ac:dyDescent="0.2">
      <c r="G2725" s="79"/>
      <c r="J2725" s="79"/>
      <c r="M2725" s="104"/>
      <c r="P2725" s="79"/>
      <c r="S2725" s="79"/>
      <c r="V2725" s="79"/>
    </row>
    <row r="2726" spans="7:22" x14ac:dyDescent="0.2">
      <c r="G2726" s="79"/>
      <c r="J2726" s="79"/>
      <c r="M2726" s="104"/>
      <c r="P2726" s="79"/>
      <c r="S2726" s="79"/>
      <c r="V2726" s="79"/>
    </row>
    <row r="2727" spans="7:22" x14ac:dyDescent="0.2">
      <c r="G2727" s="79"/>
      <c r="J2727" s="79"/>
      <c r="M2727" s="104"/>
      <c r="P2727" s="79"/>
      <c r="S2727" s="79"/>
      <c r="V2727" s="79"/>
    </row>
    <row r="2728" spans="7:22" x14ac:dyDescent="0.2">
      <c r="G2728" s="79"/>
      <c r="J2728" s="79"/>
      <c r="M2728" s="104"/>
      <c r="P2728" s="79"/>
      <c r="S2728" s="79"/>
      <c r="V2728" s="79"/>
    </row>
    <row r="2729" spans="7:22" x14ac:dyDescent="0.2">
      <c r="G2729" s="79"/>
      <c r="J2729" s="79"/>
      <c r="M2729" s="104"/>
      <c r="P2729" s="79"/>
      <c r="S2729" s="79"/>
      <c r="V2729" s="79"/>
    </row>
    <row r="2730" spans="7:22" x14ac:dyDescent="0.2">
      <c r="G2730" s="79"/>
      <c r="J2730" s="79"/>
      <c r="M2730" s="104"/>
      <c r="P2730" s="79"/>
      <c r="S2730" s="79"/>
      <c r="V2730" s="79"/>
    </row>
    <row r="2731" spans="7:22" x14ac:dyDescent="0.2">
      <c r="G2731" s="79"/>
      <c r="J2731" s="79"/>
      <c r="M2731" s="104"/>
      <c r="P2731" s="79"/>
      <c r="S2731" s="79"/>
      <c r="V2731" s="79"/>
    </row>
    <row r="2732" spans="7:22" x14ac:dyDescent="0.2">
      <c r="G2732" s="79"/>
      <c r="J2732" s="79"/>
      <c r="M2732" s="104"/>
      <c r="P2732" s="79"/>
      <c r="S2732" s="79"/>
      <c r="V2732" s="79"/>
    </row>
    <row r="2733" spans="7:22" x14ac:dyDescent="0.2">
      <c r="G2733" s="79"/>
      <c r="J2733" s="79"/>
      <c r="M2733" s="104"/>
      <c r="P2733" s="79"/>
      <c r="S2733" s="79"/>
      <c r="V2733" s="79"/>
    </row>
    <row r="2734" spans="7:22" x14ac:dyDescent="0.2">
      <c r="G2734" s="79"/>
      <c r="J2734" s="79"/>
      <c r="M2734" s="104"/>
      <c r="P2734" s="79"/>
      <c r="S2734" s="79"/>
      <c r="V2734" s="79"/>
    </row>
    <row r="2735" spans="7:22" x14ac:dyDescent="0.2">
      <c r="G2735" s="79"/>
      <c r="J2735" s="79"/>
      <c r="M2735" s="104"/>
      <c r="P2735" s="79"/>
      <c r="S2735" s="79"/>
      <c r="V2735" s="79"/>
    </row>
    <row r="2736" spans="7:22" x14ac:dyDescent="0.2">
      <c r="G2736" s="79"/>
      <c r="J2736" s="79"/>
      <c r="M2736" s="104"/>
      <c r="P2736" s="79"/>
      <c r="S2736" s="79"/>
      <c r="V2736" s="79"/>
    </row>
    <row r="2737" spans="7:22" x14ac:dyDescent="0.2">
      <c r="G2737" s="79"/>
      <c r="J2737" s="79"/>
      <c r="M2737" s="104"/>
      <c r="P2737" s="79"/>
      <c r="S2737" s="79"/>
      <c r="V2737" s="79"/>
    </row>
    <row r="2738" spans="7:22" x14ac:dyDescent="0.2">
      <c r="G2738" s="79"/>
      <c r="J2738" s="79"/>
      <c r="M2738" s="104"/>
      <c r="P2738" s="79"/>
      <c r="S2738" s="79"/>
      <c r="V2738" s="79"/>
    </row>
    <row r="2739" spans="7:22" x14ac:dyDescent="0.2">
      <c r="G2739" s="79"/>
      <c r="J2739" s="79"/>
      <c r="M2739" s="104"/>
      <c r="P2739" s="79"/>
      <c r="S2739" s="79"/>
      <c r="V2739" s="79"/>
    </row>
    <row r="2740" spans="7:22" x14ac:dyDescent="0.2">
      <c r="G2740" s="79"/>
      <c r="J2740" s="79"/>
      <c r="M2740" s="104"/>
      <c r="P2740" s="79"/>
      <c r="S2740" s="79"/>
      <c r="V2740" s="79"/>
    </row>
    <row r="2741" spans="7:22" x14ac:dyDescent="0.2">
      <c r="G2741" s="79"/>
      <c r="J2741" s="79"/>
      <c r="M2741" s="104"/>
      <c r="P2741" s="79"/>
      <c r="S2741" s="79"/>
      <c r="V2741" s="79"/>
    </row>
    <row r="2742" spans="7:22" x14ac:dyDescent="0.2">
      <c r="G2742" s="79"/>
      <c r="J2742" s="79"/>
      <c r="M2742" s="104"/>
      <c r="P2742" s="79"/>
      <c r="S2742" s="79"/>
      <c r="V2742" s="79"/>
    </row>
    <row r="2743" spans="7:22" x14ac:dyDescent="0.2">
      <c r="G2743" s="79"/>
      <c r="J2743" s="79"/>
      <c r="M2743" s="104"/>
      <c r="P2743" s="79"/>
      <c r="S2743" s="79"/>
      <c r="V2743" s="79"/>
    </row>
    <row r="2744" spans="7:22" x14ac:dyDescent="0.2">
      <c r="G2744" s="79"/>
      <c r="J2744" s="79"/>
      <c r="M2744" s="104"/>
      <c r="P2744" s="79"/>
      <c r="S2744" s="79"/>
      <c r="V2744" s="79"/>
    </row>
    <row r="2745" spans="7:22" x14ac:dyDescent="0.2">
      <c r="G2745" s="79"/>
      <c r="J2745" s="79"/>
      <c r="M2745" s="104"/>
      <c r="P2745" s="79"/>
      <c r="S2745" s="79"/>
      <c r="V2745" s="79"/>
    </row>
    <row r="2746" spans="7:22" x14ac:dyDescent="0.2">
      <c r="G2746" s="79"/>
      <c r="J2746" s="79"/>
      <c r="M2746" s="104"/>
      <c r="P2746" s="79"/>
      <c r="S2746" s="79"/>
      <c r="V2746" s="79"/>
    </row>
    <row r="2747" spans="7:22" x14ac:dyDescent="0.2">
      <c r="G2747" s="79"/>
      <c r="J2747" s="79"/>
      <c r="M2747" s="104"/>
      <c r="P2747" s="79"/>
      <c r="S2747" s="79"/>
      <c r="V2747" s="79"/>
    </row>
    <row r="2748" spans="7:22" x14ac:dyDescent="0.2">
      <c r="G2748" s="79"/>
      <c r="J2748" s="79"/>
      <c r="M2748" s="104"/>
      <c r="P2748" s="79"/>
      <c r="S2748" s="79"/>
      <c r="V2748" s="79"/>
    </row>
    <row r="2749" spans="7:22" x14ac:dyDescent="0.2">
      <c r="G2749" s="79"/>
      <c r="J2749" s="79"/>
      <c r="M2749" s="104"/>
      <c r="P2749" s="79"/>
      <c r="S2749" s="79"/>
      <c r="V2749" s="79"/>
    </row>
    <row r="2750" spans="7:22" x14ac:dyDescent="0.2">
      <c r="G2750" s="79"/>
      <c r="J2750" s="79"/>
      <c r="M2750" s="104"/>
      <c r="P2750" s="79"/>
      <c r="S2750" s="79"/>
      <c r="V2750" s="79"/>
    </row>
    <row r="2751" spans="7:22" x14ac:dyDescent="0.2">
      <c r="G2751" s="79"/>
      <c r="J2751" s="79"/>
      <c r="M2751" s="104"/>
      <c r="P2751" s="79"/>
      <c r="S2751" s="79"/>
      <c r="V2751" s="79"/>
    </row>
    <row r="2752" spans="7:22" x14ac:dyDescent="0.2">
      <c r="G2752" s="79"/>
      <c r="J2752" s="79"/>
      <c r="M2752" s="104"/>
      <c r="P2752" s="79"/>
      <c r="S2752" s="79"/>
      <c r="V2752" s="79"/>
    </row>
    <row r="2753" spans="7:22" x14ac:dyDescent="0.2">
      <c r="G2753" s="79"/>
      <c r="J2753" s="79"/>
      <c r="M2753" s="104"/>
      <c r="P2753" s="79"/>
      <c r="S2753" s="79"/>
      <c r="V2753" s="79"/>
    </row>
    <row r="2754" spans="7:22" x14ac:dyDescent="0.2">
      <c r="G2754" s="79"/>
      <c r="J2754" s="79"/>
      <c r="M2754" s="104"/>
      <c r="P2754" s="79"/>
      <c r="S2754" s="79"/>
      <c r="V2754" s="79"/>
    </row>
    <row r="2755" spans="7:22" x14ac:dyDescent="0.2">
      <c r="G2755" s="79"/>
      <c r="J2755" s="79"/>
      <c r="M2755" s="104"/>
      <c r="P2755" s="79"/>
      <c r="S2755" s="79"/>
      <c r="V2755" s="79"/>
    </row>
    <row r="2756" spans="7:22" x14ac:dyDescent="0.2">
      <c r="G2756" s="79"/>
      <c r="J2756" s="79"/>
      <c r="M2756" s="104"/>
      <c r="P2756" s="79"/>
      <c r="S2756" s="79"/>
      <c r="V2756" s="79"/>
    </row>
    <row r="2757" spans="7:22" x14ac:dyDescent="0.2">
      <c r="G2757" s="79"/>
      <c r="J2757" s="79"/>
      <c r="M2757" s="104"/>
      <c r="P2757" s="79"/>
      <c r="S2757" s="79"/>
      <c r="V2757" s="79"/>
    </row>
    <row r="2758" spans="7:22" x14ac:dyDescent="0.2">
      <c r="G2758" s="79"/>
      <c r="J2758" s="79"/>
      <c r="M2758" s="104"/>
      <c r="P2758" s="79"/>
      <c r="S2758" s="79"/>
      <c r="V2758" s="79"/>
    </row>
    <row r="2759" spans="7:22" x14ac:dyDescent="0.2">
      <c r="G2759" s="79"/>
      <c r="J2759" s="79"/>
      <c r="M2759" s="104"/>
      <c r="P2759" s="79"/>
      <c r="S2759" s="79"/>
      <c r="V2759" s="79"/>
    </row>
    <row r="2760" spans="7:22" x14ac:dyDescent="0.2">
      <c r="G2760" s="79"/>
      <c r="J2760" s="79"/>
      <c r="M2760" s="104"/>
      <c r="P2760" s="79"/>
      <c r="S2760" s="79"/>
      <c r="V2760" s="79"/>
    </row>
    <row r="2761" spans="7:22" x14ac:dyDescent="0.2">
      <c r="G2761" s="79"/>
      <c r="J2761" s="79"/>
      <c r="M2761" s="104"/>
      <c r="P2761" s="79"/>
      <c r="S2761" s="79"/>
      <c r="V2761" s="79"/>
    </row>
    <row r="2762" spans="7:22" x14ac:dyDescent="0.2">
      <c r="G2762" s="79"/>
      <c r="J2762" s="79"/>
      <c r="M2762" s="104"/>
      <c r="P2762" s="79"/>
      <c r="S2762" s="79"/>
      <c r="V2762" s="79"/>
    </row>
    <row r="2763" spans="7:22" x14ac:dyDescent="0.2">
      <c r="G2763" s="79"/>
      <c r="J2763" s="79"/>
      <c r="M2763" s="104"/>
      <c r="P2763" s="79"/>
      <c r="S2763" s="79"/>
      <c r="V2763" s="79"/>
    </row>
    <row r="2764" spans="7:22" x14ac:dyDescent="0.2">
      <c r="G2764" s="79"/>
      <c r="J2764" s="79"/>
      <c r="M2764" s="104"/>
      <c r="P2764" s="79"/>
      <c r="S2764" s="79"/>
      <c r="V2764" s="79"/>
    </row>
    <row r="2765" spans="7:22" x14ac:dyDescent="0.2">
      <c r="G2765" s="79"/>
      <c r="J2765" s="79"/>
      <c r="M2765" s="104"/>
      <c r="P2765" s="79"/>
      <c r="S2765" s="79"/>
      <c r="V2765" s="79"/>
    </row>
    <row r="2766" spans="7:22" x14ac:dyDescent="0.2">
      <c r="G2766" s="79"/>
      <c r="J2766" s="79"/>
      <c r="M2766" s="104"/>
      <c r="P2766" s="79"/>
      <c r="S2766" s="79"/>
      <c r="V2766" s="79"/>
    </row>
    <row r="2767" spans="7:22" x14ac:dyDescent="0.2">
      <c r="G2767" s="79"/>
      <c r="J2767" s="79"/>
      <c r="M2767" s="104"/>
      <c r="P2767" s="79"/>
      <c r="S2767" s="79"/>
      <c r="V2767" s="79"/>
    </row>
    <row r="2768" spans="7:22" x14ac:dyDescent="0.2">
      <c r="G2768" s="79"/>
      <c r="J2768" s="79"/>
      <c r="M2768" s="104"/>
      <c r="P2768" s="79"/>
      <c r="S2768" s="79"/>
      <c r="V2768" s="79"/>
    </row>
    <row r="2769" spans="7:22" x14ac:dyDescent="0.2">
      <c r="G2769" s="79"/>
      <c r="J2769" s="79"/>
      <c r="M2769" s="104"/>
      <c r="P2769" s="79"/>
      <c r="S2769" s="79"/>
      <c r="V2769" s="79"/>
    </row>
    <row r="2770" spans="7:22" x14ac:dyDescent="0.2">
      <c r="G2770" s="79"/>
      <c r="J2770" s="79"/>
      <c r="M2770" s="104"/>
      <c r="P2770" s="79"/>
      <c r="S2770" s="79"/>
      <c r="V2770" s="79"/>
    </row>
    <row r="2771" spans="7:22" x14ac:dyDescent="0.2">
      <c r="G2771" s="79"/>
      <c r="J2771" s="79"/>
      <c r="M2771" s="104"/>
      <c r="P2771" s="79"/>
      <c r="S2771" s="79"/>
      <c r="V2771" s="79"/>
    </row>
    <row r="2772" spans="7:22" x14ac:dyDescent="0.2">
      <c r="G2772" s="79"/>
      <c r="J2772" s="79"/>
      <c r="M2772" s="104"/>
      <c r="P2772" s="79"/>
      <c r="S2772" s="79"/>
      <c r="V2772" s="79"/>
    </row>
    <row r="2773" spans="7:22" x14ac:dyDescent="0.2">
      <c r="G2773" s="79"/>
      <c r="J2773" s="79"/>
      <c r="M2773" s="104"/>
      <c r="P2773" s="79"/>
      <c r="S2773" s="79"/>
      <c r="V2773" s="79"/>
    </row>
    <row r="2774" spans="7:22" x14ac:dyDescent="0.2">
      <c r="G2774" s="79"/>
      <c r="J2774" s="79"/>
      <c r="M2774" s="104"/>
      <c r="P2774" s="79"/>
      <c r="S2774" s="79"/>
      <c r="V2774" s="79"/>
    </row>
    <row r="2775" spans="7:22" x14ac:dyDescent="0.2">
      <c r="G2775" s="79"/>
      <c r="J2775" s="79"/>
      <c r="M2775" s="104"/>
      <c r="P2775" s="79"/>
      <c r="S2775" s="79"/>
      <c r="V2775" s="79"/>
    </row>
    <row r="2776" spans="7:22" x14ac:dyDescent="0.2">
      <c r="G2776" s="79"/>
      <c r="J2776" s="79"/>
      <c r="M2776" s="104"/>
      <c r="P2776" s="79"/>
      <c r="S2776" s="79"/>
      <c r="V2776" s="79"/>
    </row>
    <row r="2777" spans="7:22" x14ac:dyDescent="0.2">
      <c r="G2777" s="79"/>
      <c r="J2777" s="79"/>
      <c r="M2777" s="104"/>
      <c r="P2777" s="79"/>
      <c r="S2777" s="79"/>
      <c r="V2777" s="79"/>
    </row>
    <row r="2778" spans="7:22" x14ac:dyDescent="0.2">
      <c r="G2778" s="79"/>
      <c r="J2778" s="79"/>
      <c r="M2778" s="104"/>
      <c r="P2778" s="79"/>
      <c r="S2778" s="79"/>
      <c r="V2778" s="79"/>
    </row>
    <row r="2779" spans="7:22" x14ac:dyDescent="0.2">
      <c r="G2779" s="79"/>
      <c r="J2779" s="79"/>
      <c r="M2779" s="104"/>
      <c r="P2779" s="79"/>
      <c r="S2779" s="79"/>
      <c r="V2779" s="79"/>
    </row>
    <row r="2780" spans="7:22" x14ac:dyDescent="0.2">
      <c r="G2780" s="79"/>
      <c r="J2780" s="79"/>
      <c r="M2780" s="104"/>
      <c r="P2780" s="79"/>
      <c r="S2780" s="79"/>
      <c r="V2780" s="79"/>
    </row>
    <row r="2781" spans="7:22" x14ac:dyDescent="0.2">
      <c r="G2781" s="79"/>
      <c r="J2781" s="79"/>
      <c r="M2781" s="104"/>
      <c r="P2781" s="79"/>
      <c r="S2781" s="79"/>
      <c r="V2781" s="79"/>
    </row>
    <row r="2782" spans="7:22" x14ac:dyDescent="0.2">
      <c r="G2782" s="79"/>
      <c r="J2782" s="79"/>
      <c r="M2782" s="104"/>
      <c r="P2782" s="79"/>
      <c r="S2782" s="79"/>
      <c r="V2782" s="79"/>
    </row>
    <row r="2783" spans="7:22" x14ac:dyDescent="0.2">
      <c r="G2783" s="79"/>
      <c r="J2783" s="79"/>
      <c r="M2783" s="104"/>
      <c r="P2783" s="79"/>
      <c r="S2783" s="79"/>
      <c r="V2783" s="79"/>
    </row>
    <row r="2784" spans="7:22" x14ac:dyDescent="0.2">
      <c r="G2784" s="79"/>
      <c r="J2784" s="79"/>
      <c r="M2784" s="104"/>
      <c r="P2784" s="79"/>
      <c r="S2784" s="79"/>
      <c r="V2784" s="79"/>
    </row>
    <row r="2785" spans="7:22" x14ac:dyDescent="0.2">
      <c r="G2785" s="79"/>
      <c r="J2785" s="79"/>
      <c r="M2785" s="104"/>
      <c r="P2785" s="79"/>
      <c r="S2785" s="79"/>
      <c r="V2785" s="79"/>
    </row>
    <row r="2786" spans="7:22" x14ac:dyDescent="0.2">
      <c r="G2786" s="79"/>
      <c r="J2786" s="79"/>
      <c r="M2786" s="104"/>
      <c r="P2786" s="79"/>
      <c r="S2786" s="79"/>
      <c r="V2786" s="79"/>
    </row>
    <row r="2787" spans="7:22" x14ac:dyDescent="0.2">
      <c r="G2787" s="79"/>
      <c r="J2787" s="79"/>
      <c r="M2787" s="104"/>
      <c r="P2787" s="79"/>
      <c r="S2787" s="79"/>
      <c r="V2787" s="79"/>
    </row>
    <row r="2788" spans="7:22" x14ac:dyDescent="0.2">
      <c r="G2788" s="79"/>
      <c r="J2788" s="79"/>
      <c r="M2788" s="104"/>
      <c r="P2788" s="79"/>
      <c r="S2788" s="79"/>
      <c r="V2788" s="79"/>
    </row>
    <row r="2789" spans="7:22" x14ac:dyDescent="0.2">
      <c r="G2789" s="79"/>
      <c r="J2789" s="79"/>
      <c r="M2789" s="104"/>
      <c r="P2789" s="79"/>
      <c r="S2789" s="79"/>
      <c r="V2789" s="79"/>
    </row>
    <row r="2790" spans="7:22" x14ac:dyDescent="0.2">
      <c r="G2790" s="79"/>
      <c r="J2790" s="79"/>
      <c r="M2790" s="104"/>
      <c r="P2790" s="79"/>
      <c r="S2790" s="79"/>
      <c r="V2790" s="79"/>
    </row>
    <row r="2791" spans="7:22" x14ac:dyDescent="0.2">
      <c r="G2791" s="79"/>
      <c r="J2791" s="79"/>
      <c r="M2791" s="104"/>
      <c r="P2791" s="79"/>
      <c r="S2791" s="79"/>
      <c r="V2791" s="79"/>
    </row>
    <row r="2792" spans="7:22" x14ac:dyDescent="0.2">
      <c r="G2792" s="79"/>
      <c r="J2792" s="79"/>
      <c r="M2792" s="104"/>
      <c r="P2792" s="79"/>
      <c r="S2792" s="79"/>
      <c r="V2792" s="79"/>
    </row>
    <row r="2793" spans="7:22" x14ac:dyDescent="0.2">
      <c r="G2793" s="79"/>
      <c r="J2793" s="79"/>
      <c r="M2793" s="104"/>
      <c r="P2793" s="79"/>
      <c r="S2793" s="79"/>
      <c r="V2793" s="79"/>
    </row>
    <row r="2794" spans="7:22" x14ac:dyDescent="0.2">
      <c r="G2794" s="79"/>
      <c r="J2794" s="79"/>
      <c r="M2794" s="104"/>
      <c r="P2794" s="79"/>
      <c r="S2794" s="79"/>
      <c r="V2794" s="79"/>
    </row>
    <row r="2795" spans="7:22" x14ac:dyDescent="0.2">
      <c r="G2795" s="79"/>
      <c r="J2795" s="79"/>
      <c r="M2795" s="104"/>
      <c r="P2795" s="79"/>
      <c r="S2795" s="79"/>
      <c r="V2795" s="79"/>
    </row>
    <row r="2796" spans="7:22" x14ac:dyDescent="0.2">
      <c r="G2796" s="79"/>
      <c r="J2796" s="79"/>
      <c r="M2796" s="104"/>
      <c r="P2796" s="79"/>
      <c r="S2796" s="79"/>
      <c r="V2796" s="79"/>
    </row>
    <row r="2797" spans="7:22" x14ac:dyDescent="0.2">
      <c r="G2797" s="79"/>
      <c r="J2797" s="79"/>
      <c r="M2797" s="104"/>
      <c r="P2797" s="79"/>
      <c r="S2797" s="79"/>
      <c r="V2797" s="79"/>
    </row>
    <row r="2798" spans="7:22" x14ac:dyDescent="0.2">
      <c r="G2798" s="79"/>
      <c r="J2798" s="79"/>
      <c r="M2798" s="104"/>
      <c r="P2798" s="79"/>
      <c r="S2798" s="79"/>
      <c r="V2798" s="79"/>
    </row>
    <row r="2799" spans="7:22" x14ac:dyDescent="0.2">
      <c r="G2799" s="79"/>
      <c r="J2799" s="79"/>
      <c r="M2799" s="104"/>
      <c r="P2799" s="79"/>
      <c r="S2799" s="79"/>
      <c r="V2799" s="79"/>
    </row>
    <row r="2800" spans="7:22" x14ac:dyDescent="0.2">
      <c r="G2800" s="79"/>
      <c r="J2800" s="79"/>
      <c r="M2800" s="104"/>
      <c r="P2800" s="79"/>
      <c r="S2800" s="79"/>
      <c r="V2800" s="79"/>
    </row>
    <row r="2801" spans="7:22" x14ac:dyDescent="0.2">
      <c r="G2801" s="79"/>
      <c r="J2801" s="79"/>
      <c r="M2801" s="104"/>
      <c r="P2801" s="79"/>
      <c r="S2801" s="79"/>
      <c r="V2801" s="79"/>
    </row>
    <row r="2802" spans="7:22" x14ac:dyDescent="0.2">
      <c r="G2802" s="79"/>
      <c r="J2802" s="79"/>
      <c r="M2802" s="104"/>
      <c r="P2802" s="79"/>
      <c r="S2802" s="79"/>
      <c r="V2802" s="79"/>
    </row>
    <row r="2803" spans="7:22" x14ac:dyDescent="0.2">
      <c r="G2803" s="79"/>
      <c r="J2803" s="79"/>
      <c r="M2803" s="104"/>
      <c r="P2803" s="79"/>
      <c r="S2803" s="79"/>
      <c r="V2803" s="79"/>
    </row>
    <row r="2804" spans="7:22" x14ac:dyDescent="0.2">
      <c r="G2804" s="79"/>
      <c r="J2804" s="79"/>
      <c r="M2804" s="104"/>
      <c r="P2804" s="79"/>
      <c r="S2804" s="79"/>
      <c r="V2804" s="79"/>
    </row>
    <row r="2805" spans="7:22" x14ac:dyDescent="0.2">
      <c r="G2805" s="79"/>
      <c r="J2805" s="79"/>
      <c r="M2805" s="104"/>
      <c r="P2805" s="79"/>
      <c r="S2805" s="79"/>
      <c r="V2805" s="79"/>
    </row>
    <row r="2806" spans="7:22" x14ac:dyDescent="0.2">
      <c r="G2806" s="79"/>
      <c r="J2806" s="79"/>
      <c r="M2806" s="104"/>
      <c r="P2806" s="79"/>
      <c r="S2806" s="79"/>
      <c r="V2806" s="79"/>
    </row>
    <row r="2807" spans="7:22" x14ac:dyDescent="0.2">
      <c r="G2807" s="79"/>
      <c r="J2807" s="79"/>
      <c r="M2807" s="104"/>
      <c r="P2807" s="79"/>
      <c r="S2807" s="79"/>
      <c r="V2807" s="79"/>
    </row>
    <row r="2808" spans="7:22" x14ac:dyDescent="0.2">
      <c r="G2808" s="79"/>
      <c r="J2808" s="79"/>
      <c r="M2808" s="104"/>
      <c r="P2808" s="79"/>
      <c r="S2808" s="79"/>
      <c r="V2808" s="79"/>
    </row>
    <row r="2809" spans="7:22" x14ac:dyDescent="0.2">
      <c r="G2809" s="79"/>
      <c r="J2809" s="79"/>
      <c r="M2809" s="104"/>
      <c r="P2809" s="79"/>
      <c r="S2809" s="79"/>
      <c r="V2809" s="79"/>
    </row>
    <row r="2810" spans="7:22" x14ac:dyDescent="0.2">
      <c r="G2810" s="79"/>
      <c r="J2810" s="79"/>
      <c r="M2810" s="104"/>
      <c r="P2810" s="79"/>
      <c r="S2810" s="79"/>
      <c r="V2810" s="79"/>
    </row>
    <row r="2811" spans="7:22" x14ac:dyDescent="0.2">
      <c r="G2811" s="79"/>
      <c r="J2811" s="79"/>
      <c r="M2811" s="104"/>
      <c r="P2811" s="79"/>
      <c r="S2811" s="79"/>
      <c r="V2811" s="79"/>
    </row>
    <row r="2812" spans="7:22" x14ac:dyDescent="0.2">
      <c r="G2812" s="79"/>
      <c r="J2812" s="79"/>
      <c r="M2812" s="104"/>
      <c r="P2812" s="79"/>
      <c r="S2812" s="79"/>
      <c r="V2812" s="79"/>
    </row>
    <row r="2813" spans="7:22" x14ac:dyDescent="0.2">
      <c r="G2813" s="79"/>
      <c r="J2813" s="79"/>
      <c r="M2813" s="104"/>
      <c r="P2813" s="79"/>
      <c r="S2813" s="79"/>
      <c r="V2813" s="79"/>
    </row>
    <row r="2814" spans="7:22" x14ac:dyDescent="0.2">
      <c r="G2814" s="79"/>
      <c r="J2814" s="79"/>
      <c r="M2814" s="104"/>
      <c r="P2814" s="79"/>
      <c r="S2814" s="79"/>
      <c r="V2814" s="79"/>
    </row>
    <row r="2815" spans="7:22" x14ac:dyDescent="0.2">
      <c r="G2815" s="79"/>
      <c r="J2815" s="79"/>
      <c r="M2815" s="104"/>
      <c r="P2815" s="79"/>
      <c r="S2815" s="79"/>
      <c r="V2815" s="79"/>
    </row>
    <row r="2816" spans="7:22" x14ac:dyDescent="0.2">
      <c r="G2816" s="79"/>
      <c r="J2816" s="79"/>
      <c r="M2816" s="104"/>
      <c r="P2816" s="79"/>
      <c r="S2816" s="79"/>
      <c r="V2816" s="79"/>
    </row>
    <row r="2817" spans="7:22" x14ac:dyDescent="0.2">
      <c r="G2817" s="79"/>
      <c r="J2817" s="79"/>
      <c r="M2817" s="104"/>
      <c r="P2817" s="79"/>
      <c r="S2817" s="79"/>
      <c r="V2817" s="79"/>
    </row>
    <row r="2818" spans="7:22" x14ac:dyDescent="0.2">
      <c r="G2818" s="79"/>
      <c r="J2818" s="79"/>
      <c r="M2818" s="104"/>
      <c r="P2818" s="79"/>
      <c r="S2818" s="79"/>
      <c r="V2818" s="79"/>
    </row>
    <row r="2819" spans="7:22" x14ac:dyDescent="0.2">
      <c r="G2819" s="79"/>
      <c r="J2819" s="79"/>
      <c r="M2819" s="104"/>
      <c r="P2819" s="79"/>
      <c r="S2819" s="79"/>
      <c r="V2819" s="79"/>
    </row>
    <row r="2820" spans="7:22" x14ac:dyDescent="0.2">
      <c r="G2820" s="79"/>
      <c r="J2820" s="79"/>
      <c r="M2820" s="104"/>
      <c r="P2820" s="79"/>
      <c r="S2820" s="79"/>
      <c r="V2820" s="79"/>
    </row>
    <row r="2821" spans="7:22" x14ac:dyDescent="0.2">
      <c r="G2821" s="79"/>
      <c r="J2821" s="79"/>
      <c r="M2821" s="104"/>
      <c r="P2821" s="79"/>
      <c r="S2821" s="79"/>
      <c r="V2821" s="79"/>
    </row>
    <row r="2822" spans="7:22" x14ac:dyDescent="0.2">
      <c r="G2822" s="79"/>
      <c r="J2822" s="79"/>
      <c r="M2822" s="104"/>
      <c r="P2822" s="79"/>
      <c r="S2822" s="79"/>
      <c r="V2822" s="79"/>
    </row>
    <row r="2823" spans="7:22" x14ac:dyDescent="0.2">
      <c r="G2823" s="79"/>
      <c r="J2823" s="79"/>
      <c r="M2823" s="104"/>
      <c r="P2823" s="79"/>
      <c r="S2823" s="79"/>
      <c r="V2823" s="79"/>
    </row>
    <row r="2824" spans="7:22" x14ac:dyDescent="0.2">
      <c r="G2824" s="79"/>
      <c r="J2824" s="79"/>
      <c r="M2824" s="104"/>
      <c r="P2824" s="79"/>
      <c r="S2824" s="79"/>
      <c r="V2824" s="79"/>
    </row>
    <row r="2825" spans="7:22" x14ac:dyDescent="0.2">
      <c r="G2825" s="79"/>
      <c r="J2825" s="79"/>
      <c r="M2825" s="104"/>
      <c r="P2825" s="79"/>
      <c r="S2825" s="79"/>
      <c r="V2825" s="79"/>
    </row>
    <row r="2826" spans="7:22" x14ac:dyDescent="0.2">
      <c r="G2826" s="79"/>
      <c r="J2826" s="79"/>
      <c r="M2826" s="104"/>
      <c r="P2826" s="79"/>
      <c r="S2826" s="79"/>
      <c r="V2826" s="79"/>
    </row>
    <row r="2827" spans="7:22" x14ac:dyDescent="0.2">
      <c r="G2827" s="79"/>
      <c r="J2827" s="79"/>
      <c r="M2827" s="104"/>
      <c r="P2827" s="79"/>
      <c r="S2827" s="79"/>
      <c r="V2827" s="79"/>
    </row>
    <row r="2828" spans="7:22" x14ac:dyDescent="0.2">
      <c r="G2828" s="79"/>
      <c r="J2828" s="79"/>
      <c r="M2828" s="104"/>
      <c r="P2828" s="79"/>
      <c r="S2828" s="79"/>
      <c r="V2828" s="79"/>
    </row>
    <row r="2829" spans="7:22" x14ac:dyDescent="0.2">
      <c r="G2829" s="79"/>
      <c r="J2829" s="79"/>
      <c r="M2829" s="104"/>
      <c r="P2829" s="79"/>
      <c r="S2829" s="79"/>
      <c r="V2829" s="79"/>
    </row>
    <row r="2830" spans="7:22" x14ac:dyDescent="0.2">
      <c r="G2830" s="79"/>
      <c r="J2830" s="79"/>
      <c r="M2830" s="104"/>
      <c r="P2830" s="79"/>
      <c r="S2830" s="79"/>
      <c r="V2830" s="79"/>
    </row>
    <row r="2831" spans="7:22" x14ac:dyDescent="0.2">
      <c r="G2831" s="79"/>
      <c r="J2831" s="79"/>
      <c r="M2831" s="104"/>
      <c r="P2831" s="79"/>
      <c r="S2831" s="79"/>
      <c r="V2831" s="79"/>
    </row>
    <row r="2832" spans="7:22" x14ac:dyDescent="0.2">
      <c r="G2832" s="79"/>
      <c r="J2832" s="79"/>
      <c r="M2832" s="104"/>
      <c r="P2832" s="79"/>
      <c r="S2832" s="79"/>
      <c r="V2832" s="79"/>
    </row>
    <row r="2833" spans="7:22" x14ac:dyDescent="0.2">
      <c r="G2833" s="79"/>
      <c r="J2833" s="79"/>
      <c r="M2833" s="104"/>
      <c r="P2833" s="79"/>
      <c r="S2833" s="79"/>
      <c r="V2833" s="79"/>
    </row>
    <row r="2834" spans="7:22" x14ac:dyDescent="0.2">
      <c r="G2834" s="79"/>
      <c r="J2834" s="79"/>
      <c r="M2834" s="104"/>
      <c r="P2834" s="79"/>
      <c r="S2834" s="79"/>
      <c r="V2834" s="79"/>
    </row>
    <row r="2835" spans="7:22" x14ac:dyDescent="0.2">
      <c r="G2835" s="79"/>
      <c r="J2835" s="79"/>
      <c r="M2835" s="104"/>
      <c r="P2835" s="79"/>
      <c r="S2835" s="79"/>
      <c r="V2835" s="79"/>
    </row>
    <row r="2836" spans="7:22" x14ac:dyDescent="0.2">
      <c r="G2836" s="79"/>
      <c r="J2836" s="79"/>
      <c r="M2836" s="104"/>
      <c r="P2836" s="79"/>
      <c r="S2836" s="79"/>
      <c r="V2836" s="79"/>
    </row>
    <row r="2837" spans="7:22" x14ac:dyDescent="0.2">
      <c r="G2837" s="79"/>
      <c r="J2837" s="79"/>
      <c r="M2837" s="104"/>
      <c r="P2837" s="79"/>
      <c r="S2837" s="79"/>
      <c r="V2837" s="79"/>
    </row>
    <row r="2838" spans="7:22" x14ac:dyDescent="0.2">
      <c r="G2838" s="79"/>
      <c r="J2838" s="79"/>
      <c r="M2838" s="104"/>
      <c r="P2838" s="79"/>
      <c r="S2838" s="79"/>
      <c r="V2838" s="79"/>
    </row>
    <row r="2839" spans="7:22" x14ac:dyDescent="0.2">
      <c r="G2839" s="79"/>
      <c r="J2839" s="79"/>
      <c r="M2839" s="104"/>
      <c r="P2839" s="79"/>
      <c r="S2839" s="79"/>
      <c r="V2839" s="79"/>
    </row>
    <row r="2840" spans="7:22" x14ac:dyDescent="0.2">
      <c r="G2840" s="79"/>
      <c r="J2840" s="79"/>
      <c r="M2840" s="104"/>
      <c r="P2840" s="79"/>
      <c r="S2840" s="79"/>
      <c r="V2840" s="79"/>
    </row>
    <row r="2841" spans="7:22" x14ac:dyDescent="0.2">
      <c r="G2841" s="79"/>
      <c r="J2841" s="79"/>
      <c r="M2841" s="104"/>
      <c r="P2841" s="79"/>
      <c r="S2841" s="79"/>
      <c r="V2841" s="79"/>
    </row>
    <row r="2842" spans="7:22" x14ac:dyDescent="0.2">
      <c r="G2842" s="79"/>
      <c r="J2842" s="79"/>
      <c r="M2842" s="104"/>
      <c r="P2842" s="79"/>
      <c r="S2842" s="79"/>
      <c r="V2842" s="79"/>
    </row>
    <row r="2843" spans="7:22" x14ac:dyDescent="0.2">
      <c r="G2843" s="79"/>
      <c r="J2843" s="79"/>
      <c r="M2843" s="104"/>
      <c r="P2843" s="79"/>
      <c r="S2843" s="79"/>
      <c r="V2843" s="79"/>
    </row>
    <row r="2844" spans="7:22" x14ac:dyDescent="0.2">
      <c r="G2844" s="79"/>
      <c r="J2844" s="79"/>
      <c r="M2844" s="104"/>
      <c r="P2844" s="79"/>
      <c r="S2844" s="79"/>
      <c r="V2844" s="79"/>
    </row>
    <row r="2845" spans="7:22" x14ac:dyDescent="0.2">
      <c r="G2845" s="79"/>
      <c r="J2845" s="79"/>
      <c r="M2845" s="104"/>
      <c r="P2845" s="79"/>
      <c r="S2845" s="79"/>
      <c r="V2845" s="79"/>
    </row>
    <row r="2846" spans="7:22" x14ac:dyDescent="0.2">
      <c r="G2846" s="79"/>
      <c r="J2846" s="79"/>
      <c r="M2846" s="104"/>
      <c r="P2846" s="79"/>
      <c r="S2846" s="79"/>
      <c r="V2846" s="79"/>
    </row>
    <row r="2847" spans="7:22" x14ac:dyDescent="0.2">
      <c r="G2847" s="79"/>
      <c r="J2847" s="79"/>
      <c r="M2847" s="104"/>
      <c r="P2847" s="79"/>
      <c r="S2847" s="79"/>
      <c r="V2847" s="79"/>
    </row>
    <row r="2848" spans="7:22" x14ac:dyDescent="0.2">
      <c r="G2848" s="79"/>
      <c r="J2848" s="79"/>
      <c r="M2848" s="104"/>
      <c r="P2848" s="79"/>
      <c r="S2848" s="79"/>
      <c r="V2848" s="79"/>
    </row>
    <row r="2849" spans="7:22" x14ac:dyDescent="0.2">
      <c r="G2849" s="79"/>
      <c r="J2849" s="79"/>
      <c r="M2849" s="104"/>
      <c r="P2849" s="79"/>
      <c r="S2849" s="79"/>
      <c r="V2849" s="79"/>
    </row>
    <row r="2850" spans="7:22" x14ac:dyDescent="0.2">
      <c r="G2850" s="79"/>
      <c r="J2850" s="79"/>
      <c r="M2850" s="104"/>
      <c r="P2850" s="79"/>
      <c r="S2850" s="79"/>
      <c r="V2850" s="79"/>
    </row>
    <row r="2851" spans="7:22" x14ac:dyDescent="0.2">
      <c r="G2851" s="79"/>
      <c r="J2851" s="79"/>
      <c r="M2851" s="104"/>
      <c r="P2851" s="79"/>
      <c r="S2851" s="79"/>
      <c r="V2851" s="79"/>
    </row>
    <row r="2852" spans="7:22" x14ac:dyDescent="0.2">
      <c r="G2852" s="79"/>
      <c r="J2852" s="79"/>
      <c r="M2852" s="104"/>
      <c r="P2852" s="79"/>
      <c r="S2852" s="79"/>
      <c r="V2852" s="79"/>
    </row>
    <row r="2853" spans="7:22" x14ac:dyDescent="0.2">
      <c r="G2853" s="79"/>
      <c r="J2853" s="79"/>
      <c r="M2853" s="104"/>
      <c r="P2853" s="79"/>
      <c r="S2853" s="79"/>
      <c r="V2853" s="79"/>
    </row>
    <row r="2854" spans="7:22" x14ac:dyDescent="0.2">
      <c r="G2854" s="79"/>
      <c r="J2854" s="79"/>
      <c r="M2854" s="104"/>
      <c r="P2854" s="79"/>
      <c r="S2854" s="79"/>
      <c r="V2854" s="79"/>
    </row>
    <row r="2855" spans="7:22" x14ac:dyDescent="0.2">
      <c r="G2855" s="79"/>
      <c r="J2855" s="79"/>
      <c r="M2855" s="104"/>
      <c r="P2855" s="79"/>
      <c r="S2855" s="79"/>
      <c r="V2855" s="79"/>
    </row>
    <row r="2856" spans="7:22" x14ac:dyDescent="0.2">
      <c r="G2856" s="79"/>
      <c r="J2856" s="79"/>
      <c r="M2856" s="104"/>
      <c r="P2856" s="79"/>
      <c r="S2856" s="79"/>
      <c r="V2856" s="79"/>
    </row>
    <row r="2857" spans="7:22" x14ac:dyDescent="0.2">
      <c r="G2857" s="79"/>
      <c r="J2857" s="79"/>
      <c r="M2857" s="104"/>
      <c r="P2857" s="79"/>
      <c r="S2857" s="79"/>
      <c r="V2857" s="79"/>
    </row>
    <row r="2858" spans="7:22" x14ac:dyDescent="0.2">
      <c r="G2858" s="79"/>
      <c r="J2858" s="79"/>
      <c r="M2858" s="104"/>
      <c r="P2858" s="79"/>
      <c r="S2858" s="79"/>
      <c r="V2858" s="79"/>
    </row>
    <row r="2859" spans="7:22" x14ac:dyDescent="0.2">
      <c r="G2859" s="79"/>
      <c r="J2859" s="79"/>
      <c r="M2859" s="104"/>
      <c r="P2859" s="79"/>
      <c r="S2859" s="79"/>
      <c r="V2859" s="79"/>
    </row>
    <row r="2860" spans="7:22" x14ac:dyDescent="0.2">
      <c r="G2860" s="79"/>
      <c r="J2860" s="79"/>
      <c r="M2860" s="104"/>
      <c r="P2860" s="79"/>
      <c r="S2860" s="79"/>
      <c r="V2860" s="79"/>
    </row>
    <row r="2861" spans="7:22" x14ac:dyDescent="0.2">
      <c r="G2861" s="79"/>
      <c r="J2861" s="79"/>
      <c r="M2861" s="104"/>
      <c r="P2861" s="79"/>
      <c r="S2861" s="79"/>
      <c r="V2861" s="79"/>
    </row>
    <row r="2862" spans="7:22" x14ac:dyDescent="0.2">
      <c r="G2862" s="79"/>
      <c r="J2862" s="79"/>
      <c r="M2862" s="104"/>
      <c r="P2862" s="79"/>
      <c r="S2862" s="79"/>
      <c r="V2862" s="79"/>
    </row>
    <row r="2863" spans="7:22" x14ac:dyDescent="0.2">
      <c r="G2863" s="79"/>
      <c r="J2863" s="79"/>
      <c r="M2863" s="104"/>
      <c r="P2863" s="79"/>
      <c r="S2863" s="79"/>
      <c r="V2863" s="79"/>
    </row>
    <row r="2864" spans="7:22" x14ac:dyDescent="0.2">
      <c r="G2864" s="79"/>
      <c r="J2864" s="79"/>
      <c r="M2864" s="104"/>
      <c r="P2864" s="79"/>
      <c r="S2864" s="79"/>
      <c r="V2864" s="79"/>
    </row>
    <row r="2865" spans="7:22" x14ac:dyDescent="0.2">
      <c r="G2865" s="79"/>
      <c r="J2865" s="79"/>
      <c r="M2865" s="104"/>
      <c r="P2865" s="79"/>
      <c r="S2865" s="79"/>
      <c r="V2865" s="79"/>
    </row>
    <row r="2866" spans="7:22" x14ac:dyDescent="0.2">
      <c r="G2866" s="79"/>
      <c r="J2866" s="79"/>
      <c r="M2866" s="104"/>
      <c r="P2866" s="79"/>
      <c r="S2866" s="79"/>
      <c r="V2866" s="79"/>
    </row>
    <row r="2867" spans="7:22" x14ac:dyDescent="0.2">
      <c r="G2867" s="79"/>
      <c r="J2867" s="79"/>
      <c r="M2867" s="104"/>
      <c r="P2867" s="79"/>
      <c r="S2867" s="79"/>
      <c r="V2867" s="79"/>
    </row>
    <row r="2868" spans="7:22" x14ac:dyDescent="0.2">
      <c r="G2868" s="79"/>
      <c r="J2868" s="79"/>
      <c r="M2868" s="104"/>
      <c r="P2868" s="79"/>
      <c r="S2868" s="79"/>
      <c r="V2868" s="79"/>
    </row>
    <row r="2869" spans="7:22" x14ac:dyDescent="0.2">
      <c r="G2869" s="79"/>
      <c r="J2869" s="79"/>
      <c r="M2869" s="104"/>
      <c r="P2869" s="79"/>
      <c r="S2869" s="79"/>
      <c r="V2869" s="79"/>
    </row>
    <row r="2870" spans="7:22" x14ac:dyDescent="0.2">
      <c r="G2870" s="79"/>
      <c r="J2870" s="79"/>
      <c r="M2870" s="104"/>
      <c r="P2870" s="79"/>
      <c r="S2870" s="79"/>
      <c r="V2870" s="79"/>
    </row>
    <row r="2871" spans="7:22" x14ac:dyDescent="0.2">
      <c r="G2871" s="79"/>
      <c r="J2871" s="79"/>
      <c r="M2871" s="104"/>
      <c r="P2871" s="79"/>
      <c r="S2871" s="79"/>
      <c r="V2871" s="79"/>
    </row>
    <row r="2872" spans="7:22" x14ac:dyDescent="0.2">
      <c r="G2872" s="79"/>
      <c r="J2872" s="79"/>
      <c r="M2872" s="104"/>
      <c r="P2872" s="79"/>
      <c r="S2872" s="79"/>
      <c r="V2872" s="79"/>
    </row>
    <row r="2873" spans="7:22" x14ac:dyDescent="0.2">
      <c r="G2873" s="79"/>
      <c r="J2873" s="79"/>
      <c r="M2873" s="104"/>
      <c r="P2873" s="79"/>
      <c r="S2873" s="79"/>
      <c r="V2873" s="79"/>
    </row>
    <row r="2874" spans="7:22" x14ac:dyDescent="0.2">
      <c r="G2874" s="79"/>
      <c r="J2874" s="79"/>
      <c r="M2874" s="104"/>
      <c r="P2874" s="79"/>
      <c r="S2874" s="79"/>
      <c r="V2874" s="79"/>
    </row>
    <row r="2875" spans="7:22" x14ac:dyDescent="0.2">
      <c r="G2875" s="79"/>
      <c r="J2875" s="79"/>
      <c r="M2875" s="104"/>
      <c r="P2875" s="79"/>
      <c r="S2875" s="79"/>
      <c r="V2875" s="79"/>
    </row>
    <row r="2876" spans="7:22" x14ac:dyDescent="0.2">
      <c r="G2876" s="79"/>
      <c r="J2876" s="79"/>
      <c r="M2876" s="104"/>
      <c r="P2876" s="79"/>
      <c r="S2876" s="79"/>
      <c r="V2876" s="79"/>
    </row>
    <row r="2877" spans="7:22" x14ac:dyDescent="0.2">
      <c r="G2877" s="79"/>
      <c r="J2877" s="79"/>
      <c r="M2877" s="104"/>
      <c r="P2877" s="79"/>
      <c r="S2877" s="79"/>
      <c r="V2877" s="79"/>
    </row>
    <row r="2878" spans="7:22" x14ac:dyDescent="0.2">
      <c r="G2878" s="79"/>
      <c r="J2878" s="79"/>
      <c r="M2878" s="104"/>
      <c r="P2878" s="79"/>
      <c r="S2878" s="79"/>
      <c r="V2878" s="79"/>
    </row>
    <row r="2879" spans="7:22" x14ac:dyDescent="0.2">
      <c r="G2879" s="79"/>
      <c r="J2879" s="79"/>
      <c r="M2879" s="104"/>
      <c r="P2879" s="79"/>
      <c r="S2879" s="79"/>
      <c r="V2879" s="79"/>
    </row>
    <row r="2880" spans="7:22" x14ac:dyDescent="0.2">
      <c r="G2880" s="79"/>
      <c r="J2880" s="79"/>
      <c r="M2880" s="104"/>
      <c r="P2880" s="79"/>
      <c r="S2880" s="79"/>
      <c r="V2880" s="79"/>
    </row>
    <row r="2881" spans="7:22" x14ac:dyDescent="0.2">
      <c r="G2881" s="79"/>
      <c r="J2881" s="79"/>
      <c r="M2881" s="104"/>
      <c r="P2881" s="79"/>
      <c r="S2881" s="79"/>
      <c r="V2881" s="79"/>
    </row>
    <row r="2882" spans="7:22" x14ac:dyDescent="0.2">
      <c r="G2882" s="79"/>
      <c r="J2882" s="79"/>
      <c r="M2882" s="104"/>
      <c r="P2882" s="79"/>
      <c r="S2882" s="79"/>
      <c r="V2882" s="79"/>
    </row>
    <row r="2883" spans="7:22" x14ac:dyDescent="0.2">
      <c r="G2883" s="79"/>
      <c r="J2883" s="79"/>
      <c r="M2883" s="104"/>
      <c r="P2883" s="79"/>
      <c r="S2883" s="79"/>
      <c r="V2883" s="79"/>
    </row>
    <row r="2884" spans="7:22" x14ac:dyDescent="0.2">
      <c r="G2884" s="79"/>
      <c r="J2884" s="79"/>
      <c r="M2884" s="104"/>
      <c r="P2884" s="79"/>
      <c r="S2884" s="79"/>
      <c r="V2884" s="79"/>
    </row>
    <row r="2885" spans="7:22" x14ac:dyDescent="0.2">
      <c r="G2885" s="79"/>
      <c r="J2885" s="79"/>
      <c r="M2885" s="104"/>
      <c r="P2885" s="79"/>
      <c r="S2885" s="79"/>
      <c r="V2885" s="79"/>
    </row>
    <row r="2886" spans="7:22" x14ac:dyDescent="0.2">
      <c r="G2886" s="79"/>
      <c r="J2886" s="79"/>
      <c r="M2886" s="104"/>
      <c r="P2886" s="79"/>
      <c r="S2886" s="79"/>
      <c r="V2886" s="79"/>
    </row>
    <row r="2887" spans="7:22" x14ac:dyDescent="0.2">
      <c r="G2887" s="79"/>
      <c r="J2887" s="79"/>
      <c r="M2887" s="104"/>
      <c r="P2887" s="79"/>
      <c r="S2887" s="79"/>
      <c r="V2887" s="79"/>
    </row>
    <row r="2888" spans="7:22" x14ac:dyDescent="0.2">
      <c r="G2888" s="79"/>
      <c r="J2888" s="79"/>
      <c r="M2888" s="104"/>
      <c r="P2888" s="79"/>
      <c r="S2888" s="79"/>
      <c r="V2888" s="79"/>
    </row>
    <row r="2889" spans="7:22" x14ac:dyDescent="0.2">
      <c r="G2889" s="79"/>
      <c r="J2889" s="79"/>
      <c r="M2889" s="104"/>
      <c r="P2889" s="79"/>
      <c r="S2889" s="79"/>
      <c r="V2889" s="79"/>
    </row>
    <row r="2890" spans="7:22" x14ac:dyDescent="0.2">
      <c r="G2890" s="79"/>
      <c r="J2890" s="79"/>
      <c r="M2890" s="104"/>
      <c r="P2890" s="79"/>
      <c r="S2890" s="79"/>
      <c r="V2890" s="79"/>
    </row>
    <row r="2891" spans="7:22" x14ac:dyDescent="0.2">
      <c r="G2891" s="79"/>
      <c r="J2891" s="79"/>
      <c r="M2891" s="104"/>
      <c r="P2891" s="79"/>
      <c r="S2891" s="79"/>
      <c r="V2891" s="79"/>
    </row>
    <row r="2892" spans="7:22" x14ac:dyDescent="0.2">
      <c r="G2892" s="79"/>
      <c r="J2892" s="79"/>
      <c r="M2892" s="104"/>
      <c r="P2892" s="79"/>
      <c r="S2892" s="79"/>
      <c r="V2892" s="79"/>
    </row>
    <row r="2893" spans="7:22" x14ac:dyDescent="0.2">
      <c r="G2893" s="79"/>
      <c r="J2893" s="79"/>
      <c r="M2893" s="104"/>
      <c r="P2893" s="79"/>
      <c r="S2893" s="79"/>
      <c r="V2893" s="79"/>
    </row>
    <row r="2894" spans="7:22" x14ac:dyDescent="0.2">
      <c r="G2894" s="79"/>
      <c r="J2894" s="79"/>
      <c r="M2894" s="104"/>
      <c r="P2894" s="79"/>
      <c r="S2894" s="79"/>
      <c r="V2894" s="79"/>
    </row>
    <row r="2895" spans="7:22" x14ac:dyDescent="0.2">
      <c r="G2895" s="79"/>
      <c r="J2895" s="79"/>
      <c r="M2895" s="104"/>
      <c r="P2895" s="79"/>
      <c r="S2895" s="79"/>
      <c r="V2895" s="79"/>
    </row>
    <row r="2896" spans="7:22" x14ac:dyDescent="0.2">
      <c r="G2896" s="79"/>
      <c r="J2896" s="79"/>
      <c r="M2896" s="104"/>
      <c r="P2896" s="79"/>
      <c r="S2896" s="79"/>
      <c r="V2896" s="79"/>
    </row>
    <row r="2897" spans="7:22" x14ac:dyDescent="0.2">
      <c r="G2897" s="79"/>
      <c r="J2897" s="79"/>
      <c r="M2897" s="104"/>
      <c r="P2897" s="79"/>
      <c r="S2897" s="79"/>
      <c r="V2897" s="79"/>
    </row>
    <row r="2898" spans="7:22" x14ac:dyDescent="0.2">
      <c r="G2898" s="79"/>
      <c r="J2898" s="79"/>
      <c r="M2898" s="104"/>
      <c r="P2898" s="79"/>
      <c r="S2898" s="79"/>
      <c r="V2898" s="79"/>
    </row>
    <row r="2899" spans="7:22" x14ac:dyDescent="0.2">
      <c r="G2899" s="79"/>
      <c r="J2899" s="79"/>
      <c r="M2899" s="104"/>
      <c r="P2899" s="79"/>
      <c r="S2899" s="79"/>
      <c r="V2899" s="79"/>
    </row>
    <row r="2900" spans="7:22" x14ac:dyDescent="0.2">
      <c r="G2900" s="79"/>
      <c r="J2900" s="79"/>
      <c r="M2900" s="104"/>
      <c r="P2900" s="79"/>
      <c r="S2900" s="79"/>
      <c r="V2900" s="79"/>
    </row>
    <row r="2901" spans="7:22" x14ac:dyDescent="0.2">
      <c r="G2901" s="79"/>
      <c r="J2901" s="79"/>
      <c r="M2901" s="104"/>
      <c r="P2901" s="79"/>
      <c r="S2901" s="79"/>
      <c r="V2901" s="79"/>
    </row>
    <row r="2902" spans="7:22" x14ac:dyDescent="0.2">
      <c r="G2902" s="79"/>
      <c r="J2902" s="79"/>
      <c r="M2902" s="104"/>
      <c r="P2902" s="79"/>
      <c r="S2902" s="79"/>
      <c r="V2902" s="79"/>
    </row>
    <row r="2903" spans="7:22" x14ac:dyDescent="0.2">
      <c r="G2903" s="79"/>
      <c r="J2903" s="79"/>
      <c r="M2903" s="104"/>
      <c r="P2903" s="79"/>
      <c r="S2903" s="79"/>
      <c r="V2903" s="79"/>
    </row>
    <row r="2904" spans="7:22" x14ac:dyDescent="0.2">
      <c r="G2904" s="79"/>
      <c r="J2904" s="79"/>
      <c r="M2904" s="104"/>
      <c r="P2904" s="79"/>
      <c r="S2904" s="79"/>
      <c r="V2904" s="79"/>
    </row>
    <row r="2905" spans="7:22" x14ac:dyDescent="0.2">
      <c r="G2905" s="79"/>
      <c r="J2905" s="79"/>
      <c r="M2905" s="104"/>
      <c r="P2905" s="79"/>
      <c r="S2905" s="79"/>
      <c r="V2905" s="79"/>
    </row>
    <row r="2906" spans="7:22" x14ac:dyDescent="0.2">
      <c r="G2906" s="79"/>
      <c r="J2906" s="79"/>
      <c r="M2906" s="104"/>
      <c r="P2906" s="79"/>
      <c r="S2906" s="79"/>
      <c r="V2906" s="79"/>
    </row>
    <row r="2907" spans="7:22" x14ac:dyDescent="0.2">
      <c r="G2907" s="79"/>
      <c r="J2907" s="79"/>
      <c r="M2907" s="104"/>
      <c r="P2907" s="79"/>
      <c r="S2907" s="79"/>
      <c r="V2907" s="79"/>
    </row>
    <row r="2908" spans="7:22" x14ac:dyDescent="0.2">
      <c r="G2908" s="79"/>
      <c r="J2908" s="79"/>
      <c r="M2908" s="104"/>
      <c r="P2908" s="79"/>
      <c r="S2908" s="79"/>
      <c r="V2908" s="79"/>
    </row>
    <row r="2909" spans="7:22" x14ac:dyDescent="0.2">
      <c r="G2909" s="79"/>
      <c r="J2909" s="79"/>
      <c r="M2909" s="104"/>
      <c r="P2909" s="79"/>
      <c r="S2909" s="79"/>
      <c r="V2909" s="79"/>
    </row>
    <row r="2910" spans="7:22" x14ac:dyDescent="0.2">
      <c r="G2910" s="79"/>
      <c r="J2910" s="79"/>
      <c r="M2910" s="104"/>
      <c r="P2910" s="79"/>
      <c r="S2910" s="79"/>
      <c r="V2910" s="79"/>
    </row>
    <row r="2911" spans="7:22" x14ac:dyDescent="0.2">
      <c r="G2911" s="79"/>
      <c r="J2911" s="79"/>
      <c r="M2911" s="104"/>
      <c r="P2911" s="79"/>
      <c r="S2911" s="79"/>
      <c r="V2911" s="79"/>
    </row>
    <row r="2912" spans="7:22" x14ac:dyDescent="0.2">
      <c r="G2912" s="79"/>
      <c r="J2912" s="79"/>
      <c r="M2912" s="104"/>
      <c r="P2912" s="79"/>
      <c r="S2912" s="79"/>
      <c r="V2912" s="79"/>
    </row>
    <row r="2913" spans="7:22" x14ac:dyDescent="0.2">
      <c r="G2913" s="79"/>
      <c r="J2913" s="79"/>
      <c r="M2913" s="104"/>
      <c r="P2913" s="79"/>
      <c r="S2913" s="79"/>
      <c r="V2913" s="79"/>
    </row>
    <row r="2914" spans="7:22" x14ac:dyDescent="0.2">
      <c r="G2914" s="79"/>
      <c r="J2914" s="79"/>
      <c r="M2914" s="104"/>
      <c r="P2914" s="79"/>
      <c r="S2914" s="79"/>
      <c r="V2914" s="79"/>
    </row>
    <row r="2915" spans="7:22" x14ac:dyDescent="0.2">
      <c r="G2915" s="79"/>
      <c r="J2915" s="79"/>
      <c r="M2915" s="104"/>
      <c r="P2915" s="79"/>
      <c r="S2915" s="79"/>
      <c r="V2915" s="79"/>
    </row>
    <row r="2916" spans="7:22" x14ac:dyDescent="0.2">
      <c r="G2916" s="79"/>
      <c r="J2916" s="79"/>
      <c r="M2916" s="104"/>
      <c r="P2916" s="79"/>
      <c r="S2916" s="79"/>
      <c r="V2916" s="79"/>
    </row>
    <row r="2917" spans="7:22" x14ac:dyDescent="0.2">
      <c r="G2917" s="79"/>
      <c r="J2917" s="79"/>
      <c r="M2917" s="104"/>
      <c r="P2917" s="79"/>
      <c r="S2917" s="79"/>
      <c r="V2917" s="79"/>
    </row>
    <row r="2918" spans="7:22" x14ac:dyDescent="0.2">
      <c r="G2918" s="79"/>
      <c r="J2918" s="79"/>
      <c r="M2918" s="104"/>
      <c r="P2918" s="79"/>
      <c r="S2918" s="79"/>
      <c r="V2918" s="79"/>
    </row>
    <row r="2919" spans="7:22" x14ac:dyDescent="0.2">
      <c r="G2919" s="79"/>
      <c r="J2919" s="79"/>
      <c r="M2919" s="104"/>
      <c r="P2919" s="79"/>
      <c r="S2919" s="79"/>
      <c r="V2919" s="79"/>
    </row>
    <row r="2920" spans="7:22" x14ac:dyDescent="0.2">
      <c r="G2920" s="79"/>
      <c r="J2920" s="79"/>
      <c r="M2920" s="104"/>
      <c r="P2920" s="79"/>
      <c r="S2920" s="79"/>
      <c r="V2920" s="79"/>
    </row>
    <row r="2921" spans="7:22" x14ac:dyDescent="0.2">
      <c r="G2921" s="79"/>
      <c r="J2921" s="79"/>
      <c r="M2921" s="104"/>
      <c r="P2921" s="79"/>
      <c r="S2921" s="79"/>
      <c r="V2921" s="79"/>
    </row>
    <row r="2922" spans="7:22" x14ac:dyDescent="0.2">
      <c r="G2922" s="79"/>
      <c r="J2922" s="79"/>
      <c r="M2922" s="104"/>
      <c r="P2922" s="79"/>
      <c r="S2922" s="79"/>
      <c r="V2922" s="79"/>
    </row>
    <row r="2923" spans="7:22" x14ac:dyDescent="0.2">
      <c r="G2923" s="79"/>
      <c r="J2923" s="79"/>
      <c r="M2923" s="104"/>
      <c r="P2923" s="79"/>
      <c r="S2923" s="79"/>
      <c r="V2923" s="79"/>
    </row>
    <row r="2924" spans="7:22" x14ac:dyDescent="0.2">
      <c r="G2924" s="79"/>
      <c r="J2924" s="79"/>
      <c r="M2924" s="104"/>
      <c r="P2924" s="79"/>
      <c r="S2924" s="79"/>
      <c r="V2924" s="79"/>
    </row>
    <row r="2925" spans="7:22" x14ac:dyDescent="0.2">
      <c r="G2925" s="79"/>
      <c r="J2925" s="79"/>
      <c r="M2925" s="104"/>
      <c r="P2925" s="79"/>
      <c r="S2925" s="79"/>
      <c r="V2925" s="79"/>
    </row>
    <row r="2926" spans="7:22" x14ac:dyDescent="0.2">
      <c r="G2926" s="79"/>
      <c r="J2926" s="79"/>
      <c r="M2926" s="104"/>
      <c r="P2926" s="79"/>
      <c r="S2926" s="79"/>
      <c r="V2926" s="79"/>
    </row>
    <row r="2927" spans="7:22" x14ac:dyDescent="0.2">
      <c r="G2927" s="79"/>
      <c r="J2927" s="79"/>
      <c r="M2927" s="104"/>
      <c r="P2927" s="79"/>
      <c r="S2927" s="79"/>
      <c r="V2927" s="79"/>
    </row>
    <row r="2928" spans="7:22" x14ac:dyDescent="0.2">
      <c r="G2928" s="79"/>
      <c r="J2928" s="79"/>
      <c r="M2928" s="104"/>
      <c r="P2928" s="79"/>
      <c r="S2928" s="79"/>
      <c r="V2928" s="79"/>
    </row>
    <row r="2929" spans="7:22" x14ac:dyDescent="0.2">
      <c r="G2929" s="79"/>
      <c r="J2929" s="79"/>
      <c r="M2929" s="104"/>
      <c r="P2929" s="79"/>
      <c r="S2929" s="79"/>
      <c r="V2929" s="79"/>
    </row>
    <row r="2930" spans="7:22" x14ac:dyDescent="0.2">
      <c r="G2930" s="79"/>
      <c r="J2930" s="79"/>
      <c r="M2930" s="104"/>
      <c r="P2930" s="79"/>
      <c r="S2930" s="79"/>
      <c r="V2930" s="79"/>
    </row>
    <row r="2931" spans="7:22" x14ac:dyDescent="0.2">
      <c r="G2931" s="79"/>
      <c r="J2931" s="79"/>
      <c r="M2931" s="104"/>
      <c r="P2931" s="79"/>
      <c r="S2931" s="79"/>
      <c r="V2931" s="79"/>
    </row>
    <row r="2932" spans="7:22" x14ac:dyDescent="0.2">
      <c r="G2932" s="79"/>
      <c r="J2932" s="79"/>
      <c r="M2932" s="104"/>
      <c r="P2932" s="79"/>
      <c r="S2932" s="79"/>
      <c r="V2932" s="79"/>
    </row>
    <row r="2933" spans="7:22" x14ac:dyDescent="0.2">
      <c r="G2933" s="79"/>
      <c r="J2933" s="79"/>
      <c r="M2933" s="104"/>
      <c r="P2933" s="79"/>
      <c r="S2933" s="79"/>
      <c r="V2933" s="79"/>
    </row>
    <row r="2934" spans="7:22" x14ac:dyDescent="0.2">
      <c r="G2934" s="79"/>
      <c r="J2934" s="79"/>
      <c r="M2934" s="104"/>
      <c r="P2934" s="79"/>
      <c r="S2934" s="79"/>
      <c r="V2934" s="79"/>
    </row>
    <row r="2935" spans="7:22" x14ac:dyDescent="0.2">
      <c r="G2935" s="79"/>
      <c r="J2935" s="79"/>
      <c r="M2935" s="104"/>
      <c r="P2935" s="79"/>
      <c r="S2935" s="79"/>
      <c r="V2935" s="79"/>
    </row>
    <row r="2936" spans="7:22" x14ac:dyDescent="0.2">
      <c r="G2936" s="79"/>
      <c r="J2936" s="79"/>
      <c r="M2936" s="104"/>
      <c r="P2936" s="79"/>
      <c r="S2936" s="79"/>
      <c r="V2936" s="79"/>
    </row>
    <row r="2937" spans="7:22" x14ac:dyDescent="0.2">
      <c r="G2937" s="79"/>
      <c r="J2937" s="79"/>
      <c r="M2937" s="104"/>
      <c r="P2937" s="79"/>
      <c r="S2937" s="79"/>
      <c r="V2937" s="79"/>
    </row>
    <row r="2938" spans="7:22" x14ac:dyDescent="0.2">
      <c r="G2938" s="79"/>
      <c r="J2938" s="79"/>
      <c r="M2938" s="104"/>
      <c r="P2938" s="79"/>
      <c r="S2938" s="79"/>
      <c r="V2938" s="79"/>
    </row>
    <row r="2939" spans="7:22" x14ac:dyDescent="0.2">
      <c r="G2939" s="79"/>
      <c r="J2939" s="79"/>
      <c r="M2939" s="104"/>
      <c r="P2939" s="79"/>
      <c r="S2939" s="79"/>
      <c r="V2939" s="79"/>
    </row>
    <row r="2940" spans="7:22" x14ac:dyDescent="0.2">
      <c r="G2940" s="79"/>
      <c r="J2940" s="79"/>
      <c r="M2940" s="104"/>
      <c r="P2940" s="79"/>
      <c r="S2940" s="79"/>
      <c r="V2940" s="79"/>
    </row>
    <row r="2941" spans="7:22" x14ac:dyDescent="0.2">
      <c r="G2941" s="79"/>
      <c r="J2941" s="79"/>
      <c r="M2941" s="104"/>
      <c r="P2941" s="79"/>
      <c r="S2941" s="79"/>
      <c r="V2941" s="79"/>
    </row>
    <row r="2942" spans="7:22" x14ac:dyDescent="0.2">
      <c r="G2942" s="79"/>
      <c r="J2942" s="79"/>
      <c r="M2942" s="104"/>
      <c r="P2942" s="79"/>
      <c r="S2942" s="79"/>
      <c r="V2942" s="79"/>
    </row>
    <row r="2943" spans="7:22" x14ac:dyDescent="0.2">
      <c r="G2943" s="79"/>
      <c r="J2943" s="79"/>
      <c r="M2943" s="104"/>
      <c r="P2943" s="79"/>
      <c r="S2943" s="79"/>
      <c r="V2943" s="79"/>
    </row>
    <row r="2944" spans="7:22" x14ac:dyDescent="0.2">
      <c r="G2944" s="79"/>
      <c r="J2944" s="79"/>
      <c r="M2944" s="104"/>
      <c r="P2944" s="79"/>
      <c r="S2944" s="79"/>
      <c r="V2944" s="79"/>
    </row>
    <row r="2945" spans="7:22" x14ac:dyDescent="0.2">
      <c r="G2945" s="79"/>
      <c r="J2945" s="79"/>
      <c r="M2945" s="104"/>
      <c r="P2945" s="79"/>
      <c r="S2945" s="79"/>
      <c r="V2945" s="79"/>
    </row>
    <row r="2946" spans="7:22" x14ac:dyDescent="0.2">
      <c r="G2946" s="79"/>
      <c r="J2946" s="79"/>
      <c r="M2946" s="104"/>
      <c r="P2946" s="79"/>
      <c r="S2946" s="79"/>
      <c r="V2946" s="79"/>
    </row>
    <row r="2947" spans="7:22" x14ac:dyDescent="0.2">
      <c r="G2947" s="79"/>
      <c r="J2947" s="79"/>
      <c r="M2947" s="104"/>
      <c r="P2947" s="79"/>
      <c r="S2947" s="79"/>
      <c r="V2947" s="79"/>
    </row>
    <row r="2948" spans="7:22" x14ac:dyDescent="0.2">
      <c r="G2948" s="79"/>
      <c r="J2948" s="79"/>
      <c r="M2948" s="104"/>
      <c r="P2948" s="79"/>
      <c r="S2948" s="79"/>
      <c r="V2948" s="79"/>
    </row>
    <row r="2949" spans="7:22" x14ac:dyDescent="0.2">
      <c r="G2949" s="79"/>
      <c r="J2949" s="79"/>
      <c r="M2949" s="104"/>
      <c r="P2949" s="79"/>
      <c r="S2949" s="79"/>
      <c r="V2949" s="79"/>
    </row>
    <row r="2950" spans="7:22" x14ac:dyDescent="0.2">
      <c r="G2950" s="79"/>
      <c r="J2950" s="79"/>
      <c r="M2950" s="104"/>
      <c r="P2950" s="79"/>
      <c r="S2950" s="79"/>
      <c r="V2950" s="79"/>
    </row>
    <row r="2951" spans="7:22" x14ac:dyDescent="0.2">
      <c r="G2951" s="79"/>
      <c r="J2951" s="79"/>
      <c r="M2951" s="104"/>
      <c r="P2951" s="79"/>
      <c r="S2951" s="79"/>
      <c r="V2951" s="79"/>
    </row>
    <row r="2952" spans="7:22" x14ac:dyDescent="0.2">
      <c r="G2952" s="79"/>
      <c r="J2952" s="79"/>
      <c r="M2952" s="104"/>
      <c r="P2952" s="79"/>
      <c r="S2952" s="79"/>
      <c r="V2952" s="79"/>
    </row>
    <row r="2953" spans="7:22" x14ac:dyDescent="0.2">
      <c r="G2953" s="79"/>
      <c r="J2953" s="79"/>
      <c r="M2953" s="104"/>
      <c r="P2953" s="79"/>
      <c r="S2953" s="79"/>
      <c r="V2953" s="79"/>
    </row>
    <row r="2954" spans="7:22" x14ac:dyDescent="0.2">
      <c r="G2954" s="79"/>
      <c r="J2954" s="79"/>
      <c r="M2954" s="104"/>
      <c r="P2954" s="79"/>
      <c r="S2954" s="79"/>
      <c r="V2954" s="79"/>
    </row>
    <row r="2955" spans="7:22" x14ac:dyDescent="0.2">
      <c r="G2955" s="79"/>
      <c r="J2955" s="79"/>
      <c r="M2955" s="104"/>
      <c r="P2955" s="79"/>
      <c r="S2955" s="79"/>
      <c r="V2955" s="79"/>
    </row>
    <row r="2956" spans="7:22" x14ac:dyDescent="0.2">
      <c r="G2956" s="79"/>
      <c r="J2956" s="79"/>
      <c r="M2956" s="104"/>
      <c r="P2956" s="79"/>
      <c r="S2956" s="79"/>
      <c r="V2956" s="79"/>
    </row>
    <row r="2957" spans="7:22" x14ac:dyDescent="0.2">
      <c r="G2957" s="79"/>
      <c r="J2957" s="79"/>
      <c r="M2957" s="104"/>
      <c r="P2957" s="79"/>
      <c r="S2957" s="79"/>
      <c r="V2957" s="79"/>
    </row>
    <row r="2958" spans="7:22" x14ac:dyDescent="0.2">
      <c r="G2958" s="79"/>
      <c r="J2958" s="79"/>
      <c r="M2958" s="104"/>
      <c r="P2958" s="79"/>
      <c r="S2958" s="79"/>
      <c r="V2958" s="79"/>
    </row>
    <row r="2959" spans="7:22" x14ac:dyDescent="0.2">
      <c r="G2959" s="79"/>
      <c r="J2959" s="79"/>
      <c r="M2959" s="104"/>
      <c r="P2959" s="79"/>
      <c r="S2959" s="79"/>
      <c r="V2959" s="79"/>
    </row>
    <row r="2960" spans="7:22" x14ac:dyDescent="0.2">
      <c r="G2960" s="79"/>
      <c r="J2960" s="79"/>
      <c r="M2960" s="104"/>
      <c r="P2960" s="79"/>
      <c r="S2960" s="79"/>
      <c r="V2960" s="79"/>
    </row>
    <row r="2961" spans="7:22" x14ac:dyDescent="0.2">
      <c r="G2961" s="79"/>
      <c r="J2961" s="79"/>
      <c r="M2961" s="104"/>
      <c r="P2961" s="79"/>
      <c r="S2961" s="79"/>
      <c r="V2961" s="79"/>
    </row>
    <row r="2962" spans="7:22" x14ac:dyDescent="0.2">
      <c r="G2962" s="79"/>
      <c r="J2962" s="79"/>
      <c r="M2962" s="104"/>
      <c r="P2962" s="79"/>
      <c r="S2962" s="79"/>
      <c r="V2962" s="79"/>
    </row>
    <row r="2963" spans="7:22" x14ac:dyDescent="0.2">
      <c r="G2963" s="79"/>
      <c r="J2963" s="79"/>
      <c r="M2963" s="104"/>
      <c r="P2963" s="79"/>
      <c r="S2963" s="79"/>
      <c r="V2963" s="79"/>
    </row>
    <row r="2964" spans="7:22" x14ac:dyDescent="0.2">
      <c r="G2964" s="79"/>
      <c r="J2964" s="79"/>
      <c r="M2964" s="104"/>
      <c r="P2964" s="79"/>
      <c r="S2964" s="79"/>
      <c r="V2964" s="79"/>
    </row>
    <row r="2965" spans="7:22" x14ac:dyDescent="0.2">
      <c r="G2965" s="79"/>
      <c r="J2965" s="79"/>
      <c r="M2965" s="104"/>
      <c r="P2965" s="79"/>
      <c r="S2965" s="79"/>
      <c r="V2965" s="79"/>
    </row>
    <row r="2966" spans="7:22" x14ac:dyDescent="0.2">
      <c r="G2966" s="79"/>
      <c r="J2966" s="79"/>
      <c r="M2966" s="104"/>
      <c r="P2966" s="79"/>
      <c r="S2966" s="79"/>
      <c r="V2966" s="79"/>
    </row>
    <row r="2967" spans="7:22" x14ac:dyDescent="0.2">
      <c r="G2967" s="79"/>
      <c r="J2967" s="79"/>
      <c r="M2967" s="104"/>
      <c r="P2967" s="79"/>
      <c r="S2967" s="79"/>
      <c r="V2967" s="79"/>
    </row>
    <row r="2968" spans="7:22" x14ac:dyDescent="0.2">
      <c r="G2968" s="79"/>
      <c r="J2968" s="79"/>
      <c r="M2968" s="104"/>
      <c r="P2968" s="79"/>
      <c r="S2968" s="79"/>
      <c r="V2968" s="79"/>
    </row>
    <row r="2969" spans="7:22" x14ac:dyDescent="0.2">
      <c r="G2969" s="79"/>
      <c r="J2969" s="79"/>
      <c r="M2969" s="104"/>
      <c r="P2969" s="79"/>
      <c r="S2969" s="79"/>
      <c r="V2969" s="79"/>
    </row>
    <row r="2970" spans="7:22" x14ac:dyDescent="0.2">
      <c r="G2970" s="79"/>
      <c r="J2970" s="79"/>
      <c r="M2970" s="104"/>
      <c r="P2970" s="79"/>
      <c r="S2970" s="79"/>
      <c r="V2970" s="79"/>
    </row>
    <row r="2971" spans="7:22" x14ac:dyDescent="0.2">
      <c r="G2971" s="79"/>
      <c r="J2971" s="79"/>
      <c r="M2971" s="104"/>
      <c r="P2971" s="79"/>
      <c r="S2971" s="79"/>
      <c r="V2971" s="79"/>
    </row>
    <row r="2972" spans="7:22" x14ac:dyDescent="0.2">
      <c r="G2972" s="79"/>
      <c r="J2972" s="79"/>
      <c r="M2972" s="104"/>
      <c r="P2972" s="79"/>
      <c r="S2972" s="79"/>
      <c r="V2972" s="79"/>
    </row>
    <row r="2973" spans="7:22" x14ac:dyDescent="0.2">
      <c r="G2973" s="79"/>
      <c r="J2973" s="79"/>
      <c r="M2973" s="104"/>
      <c r="P2973" s="79"/>
      <c r="S2973" s="79"/>
      <c r="V2973" s="79"/>
    </row>
    <row r="2974" spans="7:22" x14ac:dyDescent="0.2">
      <c r="G2974" s="79"/>
      <c r="J2974" s="79"/>
      <c r="M2974" s="104"/>
      <c r="P2974" s="79"/>
      <c r="S2974" s="79"/>
      <c r="V2974" s="79"/>
    </row>
    <row r="2975" spans="7:22" x14ac:dyDescent="0.2">
      <c r="G2975" s="79"/>
      <c r="J2975" s="79"/>
      <c r="M2975" s="104"/>
      <c r="P2975" s="79"/>
      <c r="S2975" s="79"/>
      <c r="V2975" s="79"/>
    </row>
    <row r="2976" spans="7:22" x14ac:dyDescent="0.2">
      <c r="G2976" s="79"/>
      <c r="J2976" s="79"/>
      <c r="M2976" s="104"/>
      <c r="P2976" s="79"/>
      <c r="S2976" s="79"/>
      <c r="V2976" s="79"/>
    </row>
    <row r="2977" spans="7:22" x14ac:dyDescent="0.2">
      <c r="G2977" s="79"/>
      <c r="J2977" s="79"/>
      <c r="M2977" s="104"/>
      <c r="P2977" s="79"/>
      <c r="S2977" s="79"/>
      <c r="V2977" s="79"/>
    </row>
    <row r="2978" spans="7:22" x14ac:dyDescent="0.2">
      <c r="G2978" s="79"/>
      <c r="J2978" s="79"/>
      <c r="M2978" s="104"/>
      <c r="P2978" s="79"/>
      <c r="S2978" s="79"/>
      <c r="V2978" s="79"/>
    </row>
    <row r="2979" spans="7:22" x14ac:dyDescent="0.2">
      <c r="G2979" s="79"/>
      <c r="J2979" s="79"/>
      <c r="M2979" s="104"/>
      <c r="P2979" s="79"/>
      <c r="S2979" s="79"/>
      <c r="V2979" s="79"/>
    </row>
    <row r="2980" spans="7:22" x14ac:dyDescent="0.2">
      <c r="G2980" s="79"/>
      <c r="J2980" s="79"/>
      <c r="M2980" s="104"/>
      <c r="P2980" s="79"/>
      <c r="S2980" s="79"/>
      <c r="V2980" s="79"/>
    </row>
    <row r="2981" spans="7:22" x14ac:dyDescent="0.2">
      <c r="G2981" s="79"/>
      <c r="J2981" s="79"/>
      <c r="M2981" s="104"/>
      <c r="P2981" s="79"/>
      <c r="S2981" s="79"/>
      <c r="V2981" s="79"/>
    </row>
    <row r="2982" spans="7:22" x14ac:dyDescent="0.2">
      <c r="G2982" s="79"/>
      <c r="J2982" s="79"/>
      <c r="M2982" s="104"/>
      <c r="P2982" s="79"/>
      <c r="S2982" s="79"/>
      <c r="V2982" s="79"/>
    </row>
    <row r="2983" spans="7:22" x14ac:dyDescent="0.2">
      <c r="G2983" s="79"/>
      <c r="J2983" s="79"/>
      <c r="M2983" s="104"/>
      <c r="P2983" s="79"/>
      <c r="S2983" s="79"/>
      <c r="V2983" s="79"/>
    </row>
    <row r="2984" spans="7:22" x14ac:dyDescent="0.2">
      <c r="G2984" s="79"/>
      <c r="J2984" s="79"/>
      <c r="M2984" s="104"/>
      <c r="P2984" s="79"/>
      <c r="S2984" s="79"/>
      <c r="V2984" s="79"/>
    </row>
    <row r="2985" spans="7:22" x14ac:dyDescent="0.2">
      <c r="G2985" s="79"/>
      <c r="J2985" s="79"/>
      <c r="M2985" s="104"/>
      <c r="P2985" s="79"/>
      <c r="S2985" s="79"/>
      <c r="V2985" s="79"/>
    </row>
    <row r="2986" spans="7:22" x14ac:dyDescent="0.2">
      <c r="G2986" s="79"/>
      <c r="J2986" s="79"/>
      <c r="M2986" s="104"/>
      <c r="P2986" s="79"/>
      <c r="S2986" s="79"/>
      <c r="V2986" s="79"/>
    </row>
    <row r="2987" spans="7:22" x14ac:dyDescent="0.2">
      <c r="G2987" s="79"/>
      <c r="J2987" s="79"/>
      <c r="M2987" s="104"/>
      <c r="P2987" s="79"/>
      <c r="S2987" s="79"/>
      <c r="V2987" s="79"/>
    </row>
    <row r="2988" spans="7:22" x14ac:dyDescent="0.2">
      <c r="G2988" s="79"/>
      <c r="J2988" s="79"/>
      <c r="M2988" s="104"/>
      <c r="P2988" s="79"/>
      <c r="S2988" s="79"/>
      <c r="V2988" s="79"/>
    </row>
    <row r="2989" spans="7:22" x14ac:dyDescent="0.2">
      <c r="G2989" s="79"/>
      <c r="J2989" s="79"/>
      <c r="M2989" s="104"/>
      <c r="P2989" s="79"/>
      <c r="S2989" s="79"/>
      <c r="V2989" s="79"/>
    </row>
    <row r="2990" spans="7:22" x14ac:dyDescent="0.2">
      <c r="G2990" s="79"/>
      <c r="J2990" s="79"/>
      <c r="M2990" s="104"/>
      <c r="P2990" s="79"/>
      <c r="S2990" s="79"/>
      <c r="V2990" s="79"/>
    </row>
    <row r="2991" spans="7:22" x14ac:dyDescent="0.2">
      <c r="G2991" s="79"/>
      <c r="J2991" s="79"/>
      <c r="M2991" s="104"/>
      <c r="P2991" s="79"/>
      <c r="S2991" s="79"/>
      <c r="V2991" s="79"/>
    </row>
    <row r="2992" spans="7:22" x14ac:dyDescent="0.2">
      <c r="G2992" s="79"/>
      <c r="J2992" s="79"/>
      <c r="M2992" s="104"/>
      <c r="P2992" s="79"/>
      <c r="S2992" s="79"/>
      <c r="V2992" s="79"/>
    </row>
    <row r="2993" spans="7:22" x14ac:dyDescent="0.2">
      <c r="G2993" s="79"/>
      <c r="J2993" s="79"/>
      <c r="M2993" s="104"/>
      <c r="P2993" s="79"/>
      <c r="S2993" s="79"/>
      <c r="V2993" s="79"/>
    </row>
    <row r="2994" spans="7:22" x14ac:dyDescent="0.2">
      <c r="G2994" s="79"/>
      <c r="J2994" s="79"/>
      <c r="M2994" s="104"/>
      <c r="P2994" s="79"/>
      <c r="S2994" s="79"/>
      <c r="V2994" s="79"/>
    </row>
    <row r="2995" spans="7:22" x14ac:dyDescent="0.2">
      <c r="G2995" s="79"/>
      <c r="J2995" s="79"/>
      <c r="M2995" s="104"/>
      <c r="P2995" s="79"/>
      <c r="S2995" s="79"/>
      <c r="V2995" s="79"/>
    </row>
    <row r="2996" spans="7:22" x14ac:dyDescent="0.2">
      <c r="G2996" s="79"/>
      <c r="J2996" s="79"/>
      <c r="M2996" s="104"/>
      <c r="P2996" s="79"/>
      <c r="S2996" s="79"/>
      <c r="V2996" s="79"/>
    </row>
    <row r="2997" spans="7:22" x14ac:dyDescent="0.2">
      <c r="G2997" s="79"/>
      <c r="J2997" s="79"/>
      <c r="M2997" s="104"/>
      <c r="P2997" s="79"/>
      <c r="S2997" s="79"/>
      <c r="V2997" s="79"/>
    </row>
    <row r="2998" spans="7:22" x14ac:dyDescent="0.2">
      <c r="G2998" s="79"/>
      <c r="J2998" s="79"/>
      <c r="M2998" s="104"/>
      <c r="P2998" s="79"/>
      <c r="S2998" s="79"/>
      <c r="V2998" s="79"/>
    </row>
    <row r="2999" spans="7:22" x14ac:dyDescent="0.2">
      <c r="G2999" s="79"/>
      <c r="J2999" s="79"/>
      <c r="M2999" s="104"/>
      <c r="P2999" s="79"/>
      <c r="S2999" s="79"/>
      <c r="V2999" s="79"/>
    </row>
    <row r="3000" spans="7:22" x14ac:dyDescent="0.2">
      <c r="G3000" s="79"/>
      <c r="J3000" s="79"/>
      <c r="M3000" s="104"/>
      <c r="P3000" s="79"/>
      <c r="S3000" s="79"/>
      <c r="V3000" s="79"/>
    </row>
    <row r="3001" spans="7:22" x14ac:dyDescent="0.2">
      <c r="G3001" s="79"/>
      <c r="J3001" s="79"/>
      <c r="M3001" s="104"/>
      <c r="P3001" s="79"/>
      <c r="S3001" s="79"/>
      <c r="V3001" s="79"/>
    </row>
    <row r="3002" spans="7:22" x14ac:dyDescent="0.2">
      <c r="G3002" s="79"/>
      <c r="J3002" s="79"/>
      <c r="M3002" s="104"/>
      <c r="P3002" s="79"/>
      <c r="S3002" s="79"/>
      <c r="V3002" s="79"/>
    </row>
    <row r="3003" spans="7:22" x14ac:dyDescent="0.2">
      <c r="G3003" s="79"/>
      <c r="J3003" s="79"/>
      <c r="M3003" s="104"/>
      <c r="P3003" s="79"/>
      <c r="S3003" s="79"/>
      <c r="V3003" s="79"/>
    </row>
    <row r="3004" spans="7:22" x14ac:dyDescent="0.2">
      <c r="G3004" s="79"/>
      <c r="J3004" s="79"/>
      <c r="M3004" s="104"/>
      <c r="P3004" s="79"/>
      <c r="S3004" s="79"/>
      <c r="V3004" s="79"/>
    </row>
    <row r="3005" spans="7:22" x14ac:dyDescent="0.2">
      <c r="G3005" s="79"/>
      <c r="J3005" s="79"/>
      <c r="M3005" s="104"/>
      <c r="P3005" s="79"/>
      <c r="S3005" s="79"/>
      <c r="V3005" s="79"/>
    </row>
    <row r="3006" spans="7:22" x14ac:dyDescent="0.2">
      <c r="G3006" s="79"/>
      <c r="J3006" s="79"/>
      <c r="M3006" s="104"/>
      <c r="P3006" s="79"/>
      <c r="S3006" s="79"/>
      <c r="V3006" s="79"/>
    </row>
    <row r="3007" spans="7:22" x14ac:dyDescent="0.2">
      <c r="G3007" s="79"/>
      <c r="J3007" s="79"/>
      <c r="M3007" s="104"/>
      <c r="P3007" s="79"/>
      <c r="S3007" s="79"/>
      <c r="V3007" s="79"/>
    </row>
    <row r="3008" spans="7:22" x14ac:dyDescent="0.2">
      <c r="G3008" s="79"/>
      <c r="J3008" s="79"/>
      <c r="M3008" s="104"/>
      <c r="P3008" s="79"/>
      <c r="S3008" s="79"/>
      <c r="V3008" s="79"/>
    </row>
    <row r="3009" spans="7:22" x14ac:dyDescent="0.2">
      <c r="G3009" s="79"/>
      <c r="J3009" s="79"/>
      <c r="M3009" s="104"/>
      <c r="P3009" s="79"/>
      <c r="S3009" s="79"/>
      <c r="V3009" s="79"/>
    </row>
    <row r="3010" spans="7:22" x14ac:dyDescent="0.2">
      <c r="G3010" s="79"/>
      <c r="J3010" s="79"/>
      <c r="M3010" s="104"/>
      <c r="P3010" s="79"/>
      <c r="S3010" s="79"/>
      <c r="V3010" s="79"/>
    </row>
    <row r="3011" spans="7:22" x14ac:dyDescent="0.2">
      <c r="G3011" s="79"/>
      <c r="J3011" s="79"/>
      <c r="M3011" s="104"/>
      <c r="P3011" s="79"/>
      <c r="S3011" s="79"/>
      <c r="V3011" s="79"/>
    </row>
    <row r="3012" spans="7:22" x14ac:dyDescent="0.2">
      <c r="G3012" s="79"/>
      <c r="J3012" s="79"/>
      <c r="M3012" s="104"/>
      <c r="P3012" s="79"/>
      <c r="S3012" s="79"/>
      <c r="V3012" s="79"/>
    </row>
    <row r="3013" spans="7:22" x14ac:dyDescent="0.2">
      <c r="G3013" s="79"/>
      <c r="J3013" s="79"/>
      <c r="M3013" s="104"/>
      <c r="P3013" s="79"/>
      <c r="S3013" s="79"/>
      <c r="V3013" s="79"/>
    </row>
    <row r="3014" spans="7:22" x14ac:dyDescent="0.2">
      <c r="G3014" s="79"/>
      <c r="J3014" s="79"/>
      <c r="M3014" s="104"/>
      <c r="P3014" s="79"/>
      <c r="S3014" s="79"/>
      <c r="V3014" s="79"/>
    </row>
    <row r="3015" spans="7:22" x14ac:dyDescent="0.2">
      <c r="G3015" s="79"/>
      <c r="J3015" s="79"/>
      <c r="M3015" s="104"/>
      <c r="P3015" s="79"/>
      <c r="S3015" s="79"/>
      <c r="V3015" s="79"/>
    </row>
    <row r="3016" spans="7:22" x14ac:dyDescent="0.2">
      <c r="G3016" s="79"/>
      <c r="J3016" s="79"/>
      <c r="M3016" s="104"/>
      <c r="P3016" s="79"/>
      <c r="S3016" s="79"/>
      <c r="V3016" s="79"/>
    </row>
    <row r="3017" spans="7:22" x14ac:dyDescent="0.2">
      <c r="G3017" s="79"/>
      <c r="J3017" s="79"/>
      <c r="M3017" s="104"/>
      <c r="P3017" s="79"/>
      <c r="S3017" s="79"/>
      <c r="V3017" s="79"/>
    </row>
    <row r="3018" spans="7:22" x14ac:dyDescent="0.2">
      <c r="G3018" s="79"/>
      <c r="J3018" s="79"/>
      <c r="M3018" s="104"/>
      <c r="P3018" s="79"/>
      <c r="S3018" s="79"/>
      <c r="V3018" s="79"/>
    </row>
    <row r="3019" spans="7:22" x14ac:dyDescent="0.2">
      <c r="G3019" s="79"/>
      <c r="J3019" s="79"/>
      <c r="M3019" s="104"/>
      <c r="P3019" s="79"/>
      <c r="S3019" s="79"/>
      <c r="V3019" s="79"/>
    </row>
    <row r="3020" spans="7:22" x14ac:dyDescent="0.2">
      <c r="G3020" s="79"/>
      <c r="J3020" s="79"/>
      <c r="M3020" s="104"/>
      <c r="P3020" s="79"/>
      <c r="S3020" s="79"/>
      <c r="V3020" s="79"/>
    </row>
    <row r="3021" spans="7:22" x14ac:dyDescent="0.2">
      <c r="G3021" s="79"/>
      <c r="J3021" s="79"/>
      <c r="M3021" s="104"/>
      <c r="P3021" s="79"/>
      <c r="S3021" s="79"/>
      <c r="V3021" s="79"/>
    </row>
    <row r="3022" spans="7:22" x14ac:dyDescent="0.2">
      <c r="G3022" s="79"/>
      <c r="J3022" s="79"/>
      <c r="M3022" s="104"/>
      <c r="P3022" s="79"/>
      <c r="S3022" s="79"/>
      <c r="V3022" s="79"/>
    </row>
    <row r="3023" spans="7:22" x14ac:dyDescent="0.2">
      <c r="G3023" s="79"/>
      <c r="J3023" s="79"/>
      <c r="M3023" s="104"/>
      <c r="P3023" s="79"/>
      <c r="S3023" s="79"/>
      <c r="V3023" s="79"/>
    </row>
    <row r="3024" spans="7:22" x14ac:dyDescent="0.2">
      <c r="G3024" s="79"/>
      <c r="J3024" s="79"/>
      <c r="M3024" s="104"/>
      <c r="P3024" s="79"/>
      <c r="S3024" s="79"/>
      <c r="V3024" s="79"/>
    </row>
    <row r="3025" spans="7:22" x14ac:dyDescent="0.2">
      <c r="G3025" s="79"/>
      <c r="J3025" s="79"/>
      <c r="M3025" s="104"/>
      <c r="P3025" s="79"/>
      <c r="S3025" s="79"/>
      <c r="V3025" s="79"/>
    </row>
    <row r="3026" spans="7:22" x14ac:dyDescent="0.2">
      <c r="G3026" s="79"/>
      <c r="J3026" s="79"/>
      <c r="M3026" s="104"/>
      <c r="P3026" s="79"/>
      <c r="S3026" s="79"/>
      <c r="V3026" s="79"/>
    </row>
    <row r="3027" spans="7:22" x14ac:dyDescent="0.2">
      <c r="G3027" s="79"/>
      <c r="J3027" s="79"/>
      <c r="M3027" s="104"/>
      <c r="P3027" s="79"/>
      <c r="S3027" s="79"/>
      <c r="V3027" s="79"/>
    </row>
    <row r="3028" spans="7:22" x14ac:dyDescent="0.2">
      <c r="G3028" s="79"/>
      <c r="J3028" s="79"/>
      <c r="M3028" s="104"/>
      <c r="P3028" s="79"/>
      <c r="S3028" s="79"/>
      <c r="V3028" s="79"/>
    </row>
    <row r="3029" spans="7:22" x14ac:dyDescent="0.2">
      <c r="G3029" s="79"/>
      <c r="J3029" s="79"/>
      <c r="M3029" s="104"/>
      <c r="P3029" s="79"/>
      <c r="S3029" s="79"/>
      <c r="V3029" s="79"/>
    </row>
    <row r="3030" spans="7:22" x14ac:dyDescent="0.2">
      <c r="G3030" s="79"/>
      <c r="J3030" s="79"/>
      <c r="M3030" s="104"/>
      <c r="P3030" s="79"/>
      <c r="S3030" s="79"/>
      <c r="V3030" s="79"/>
    </row>
    <row r="3031" spans="7:22" x14ac:dyDescent="0.2">
      <c r="G3031" s="79"/>
      <c r="J3031" s="79"/>
      <c r="M3031" s="104"/>
      <c r="P3031" s="79"/>
      <c r="S3031" s="79"/>
      <c r="V3031" s="79"/>
    </row>
    <row r="3032" spans="7:22" x14ac:dyDescent="0.2">
      <c r="G3032" s="79"/>
      <c r="J3032" s="79"/>
      <c r="M3032" s="104"/>
      <c r="P3032" s="79"/>
      <c r="S3032" s="79"/>
      <c r="V3032" s="79"/>
    </row>
    <row r="3033" spans="7:22" x14ac:dyDescent="0.2">
      <c r="G3033" s="79"/>
      <c r="J3033" s="79"/>
      <c r="M3033" s="104"/>
      <c r="P3033" s="79"/>
      <c r="S3033" s="79"/>
      <c r="V3033" s="79"/>
    </row>
    <row r="3034" spans="7:22" x14ac:dyDescent="0.2">
      <c r="G3034" s="79"/>
      <c r="J3034" s="79"/>
      <c r="M3034" s="104"/>
      <c r="P3034" s="79"/>
      <c r="S3034" s="79"/>
      <c r="V3034" s="79"/>
    </row>
    <row r="3035" spans="7:22" x14ac:dyDescent="0.2">
      <c r="G3035" s="79"/>
      <c r="J3035" s="79"/>
      <c r="M3035" s="104"/>
      <c r="P3035" s="79"/>
      <c r="S3035" s="79"/>
      <c r="V3035" s="79"/>
    </row>
    <row r="3036" spans="7:22" x14ac:dyDescent="0.2">
      <c r="G3036" s="79"/>
      <c r="J3036" s="79"/>
      <c r="M3036" s="104"/>
      <c r="P3036" s="79"/>
      <c r="S3036" s="79"/>
      <c r="V3036" s="79"/>
    </row>
    <row r="3037" spans="7:22" x14ac:dyDescent="0.2">
      <c r="G3037" s="79"/>
      <c r="J3037" s="79"/>
      <c r="M3037" s="104"/>
      <c r="P3037" s="79"/>
      <c r="S3037" s="79"/>
      <c r="V3037" s="79"/>
    </row>
    <row r="3038" spans="7:22" x14ac:dyDescent="0.2">
      <c r="G3038" s="79"/>
      <c r="J3038" s="79"/>
      <c r="M3038" s="104"/>
      <c r="P3038" s="79"/>
      <c r="S3038" s="79"/>
      <c r="V3038" s="79"/>
    </row>
    <row r="3039" spans="7:22" x14ac:dyDescent="0.2">
      <c r="G3039" s="79"/>
      <c r="J3039" s="79"/>
      <c r="M3039" s="104"/>
      <c r="P3039" s="79"/>
      <c r="S3039" s="79"/>
      <c r="V3039" s="79"/>
    </row>
    <row r="3040" spans="7:22" x14ac:dyDescent="0.2">
      <c r="G3040" s="79"/>
      <c r="J3040" s="79"/>
      <c r="M3040" s="104"/>
      <c r="P3040" s="79"/>
      <c r="S3040" s="79"/>
      <c r="V3040" s="79"/>
    </row>
    <row r="3041" spans="7:22" x14ac:dyDescent="0.2">
      <c r="G3041" s="79"/>
      <c r="J3041" s="79"/>
      <c r="M3041" s="104"/>
      <c r="P3041" s="79"/>
      <c r="S3041" s="79"/>
      <c r="V3041" s="79"/>
    </row>
    <row r="3042" spans="7:22" x14ac:dyDescent="0.2">
      <c r="G3042" s="79"/>
      <c r="J3042" s="79"/>
      <c r="M3042" s="104"/>
      <c r="P3042" s="79"/>
      <c r="S3042" s="79"/>
      <c r="V3042" s="79"/>
    </row>
    <row r="3043" spans="7:22" x14ac:dyDescent="0.2">
      <c r="G3043" s="79"/>
      <c r="J3043" s="79"/>
      <c r="M3043" s="104"/>
      <c r="P3043" s="79"/>
      <c r="S3043" s="79"/>
      <c r="V3043" s="79"/>
    </row>
    <row r="3044" spans="7:22" x14ac:dyDescent="0.2">
      <c r="G3044" s="79"/>
      <c r="J3044" s="79"/>
      <c r="M3044" s="104"/>
      <c r="P3044" s="79"/>
      <c r="S3044" s="79"/>
      <c r="V3044" s="79"/>
    </row>
    <row r="3045" spans="7:22" x14ac:dyDescent="0.2">
      <c r="G3045" s="79"/>
      <c r="J3045" s="79"/>
      <c r="M3045" s="104"/>
      <c r="P3045" s="79"/>
      <c r="S3045" s="79"/>
      <c r="V3045" s="79"/>
    </row>
    <row r="3046" spans="7:22" x14ac:dyDescent="0.2">
      <c r="G3046" s="79"/>
      <c r="J3046" s="79"/>
      <c r="M3046" s="104"/>
      <c r="P3046" s="79"/>
      <c r="S3046" s="79"/>
      <c r="V3046" s="79"/>
    </row>
    <row r="3047" spans="7:22" x14ac:dyDescent="0.2">
      <c r="G3047" s="79"/>
      <c r="J3047" s="79"/>
      <c r="M3047" s="104"/>
      <c r="P3047" s="79"/>
      <c r="S3047" s="79"/>
      <c r="V3047" s="79"/>
    </row>
    <row r="3048" spans="7:22" x14ac:dyDescent="0.2">
      <c r="G3048" s="79"/>
      <c r="J3048" s="79"/>
      <c r="M3048" s="104"/>
      <c r="P3048" s="79"/>
      <c r="S3048" s="79"/>
      <c r="V3048" s="79"/>
    </row>
    <row r="3049" spans="7:22" x14ac:dyDescent="0.2">
      <c r="G3049" s="79"/>
      <c r="J3049" s="79"/>
      <c r="M3049" s="104"/>
      <c r="P3049" s="79"/>
      <c r="S3049" s="79"/>
      <c r="V3049" s="79"/>
    </row>
    <row r="3050" spans="7:22" x14ac:dyDescent="0.2">
      <c r="G3050" s="79"/>
      <c r="J3050" s="79"/>
      <c r="M3050" s="104"/>
      <c r="P3050" s="79"/>
      <c r="S3050" s="79"/>
      <c r="V3050" s="79"/>
    </row>
    <row r="3051" spans="7:22" x14ac:dyDescent="0.2">
      <c r="G3051" s="79"/>
      <c r="J3051" s="79"/>
      <c r="M3051" s="104"/>
      <c r="P3051" s="79"/>
      <c r="S3051" s="79"/>
      <c r="V3051" s="79"/>
    </row>
    <row r="3052" spans="7:22" x14ac:dyDescent="0.2">
      <c r="G3052" s="79"/>
      <c r="J3052" s="79"/>
      <c r="M3052" s="104"/>
      <c r="P3052" s="79"/>
      <c r="S3052" s="79"/>
      <c r="V3052" s="79"/>
    </row>
    <row r="3053" spans="7:22" x14ac:dyDescent="0.2">
      <c r="G3053" s="79"/>
      <c r="J3053" s="79"/>
      <c r="M3053" s="104"/>
      <c r="P3053" s="79"/>
      <c r="S3053" s="79"/>
      <c r="V3053" s="79"/>
    </row>
    <row r="3054" spans="7:22" x14ac:dyDescent="0.2">
      <c r="G3054" s="79"/>
      <c r="J3054" s="79"/>
      <c r="M3054" s="104"/>
      <c r="P3054" s="79"/>
      <c r="S3054" s="79"/>
      <c r="V3054" s="79"/>
    </row>
    <row r="3055" spans="7:22" x14ac:dyDescent="0.2">
      <c r="G3055" s="79"/>
      <c r="J3055" s="79"/>
      <c r="M3055" s="104"/>
      <c r="P3055" s="79"/>
      <c r="S3055" s="79"/>
      <c r="V3055" s="79"/>
    </row>
    <row r="3056" spans="7:22" x14ac:dyDescent="0.2">
      <c r="G3056" s="79"/>
      <c r="J3056" s="79"/>
      <c r="M3056" s="104"/>
      <c r="P3056" s="79"/>
      <c r="S3056" s="79"/>
      <c r="V3056" s="79"/>
    </row>
    <row r="3057" spans="7:22" x14ac:dyDescent="0.2">
      <c r="G3057" s="79"/>
      <c r="J3057" s="79"/>
      <c r="M3057" s="104"/>
      <c r="P3057" s="79"/>
      <c r="S3057" s="79"/>
      <c r="V3057" s="79"/>
    </row>
    <row r="3058" spans="7:22" x14ac:dyDescent="0.2">
      <c r="G3058" s="79"/>
      <c r="J3058" s="79"/>
      <c r="M3058" s="104"/>
      <c r="P3058" s="79"/>
      <c r="S3058" s="79"/>
      <c r="V3058" s="79"/>
    </row>
    <row r="3059" spans="7:22" x14ac:dyDescent="0.2">
      <c r="G3059" s="79"/>
      <c r="J3059" s="79"/>
      <c r="M3059" s="104"/>
      <c r="P3059" s="79"/>
      <c r="S3059" s="79"/>
      <c r="V3059" s="79"/>
    </row>
    <row r="3060" spans="7:22" x14ac:dyDescent="0.2">
      <c r="G3060" s="79"/>
      <c r="J3060" s="79"/>
      <c r="M3060" s="104"/>
      <c r="P3060" s="79"/>
      <c r="S3060" s="79"/>
      <c r="V3060" s="79"/>
    </row>
    <row r="3061" spans="7:22" x14ac:dyDescent="0.2">
      <c r="G3061" s="79"/>
      <c r="J3061" s="79"/>
      <c r="M3061" s="104"/>
      <c r="P3061" s="79"/>
      <c r="S3061" s="79"/>
      <c r="V3061" s="79"/>
    </row>
    <row r="3062" spans="7:22" x14ac:dyDescent="0.2">
      <c r="G3062" s="79"/>
      <c r="J3062" s="79"/>
      <c r="M3062" s="104"/>
      <c r="P3062" s="79"/>
      <c r="S3062" s="79"/>
      <c r="V3062" s="79"/>
    </row>
    <row r="3063" spans="7:22" x14ac:dyDescent="0.2">
      <c r="G3063" s="79"/>
      <c r="J3063" s="79"/>
      <c r="M3063" s="104"/>
      <c r="P3063" s="79"/>
      <c r="S3063" s="79"/>
      <c r="V3063" s="79"/>
    </row>
    <row r="3064" spans="7:22" x14ac:dyDescent="0.2">
      <c r="G3064" s="79"/>
      <c r="J3064" s="79"/>
      <c r="M3064" s="104"/>
      <c r="P3064" s="79"/>
      <c r="S3064" s="79"/>
      <c r="V3064" s="79"/>
    </row>
    <row r="3065" spans="7:22" x14ac:dyDescent="0.2">
      <c r="G3065" s="79"/>
      <c r="J3065" s="79"/>
      <c r="M3065" s="104"/>
      <c r="P3065" s="79"/>
      <c r="S3065" s="79"/>
      <c r="V3065" s="79"/>
    </row>
    <row r="3066" spans="7:22" x14ac:dyDescent="0.2">
      <c r="G3066" s="79"/>
      <c r="J3066" s="79"/>
      <c r="M3066" s="104"/>
      <c r="P3066" s="79"/>
      <c r="S3066" s="79"/>
      <c r="V3066" s="79"/>
    </row>
    <row r="3067" spans="7:22" x14ac:dyDescent="0.2">
      <c r="G3067" s="79"/>
      <c r="J3067" s="79"/>
      <c r="M3067" s="104"/>
      <c r="P3067" s="79"/>
      <c r="S3067" s="79"/>
      <c r="V3067" s="79"/>
    </row>
    <row r="3068" spans="7:22" x14ac:dyDescent="0.2">
      <c r="G3068" s="79"/>
      <c r="J3068" s="79"/>
      <c r="M3068" s="104"/>
      <c r="P3068" s="79"/>
      <c r="S3068" s="79"/>
      <c r="V3068" s="79"/>
    </row>
    <row r="3069" spans="7:22" x14ac:dyDescent="0.2">
      <c r="G3069" s="79"/>
      <c r="J3069" s="79"/>
      <c r="M3069" s="104"/>
      <c r="P3069" s="79"/>
      <c r="S3069" s="79"/>
      <c r="V3069" s="79"/>
    </row>
    <row r="3070" spans="7:22" x14ac:dyDescent="0.2">
      <c r="G3070" s="79"/>
      <c r="J3070" s="79"/>
      <c r="M3070" s="104"/>
      <c r="P3070" s="79"/>
      <c r="S3070" s="79"/>
      <c r="V3070" s="79"/>
    </row>
    <row r="3071" spans="7:22" x14ac:dyDescent="0.2">
      <c r="G3071" s="79"/>
      <c r="J3071" s="79"/>
      <c r="M3071" s="104"/>
      <c r="P3071" s="79"/>
      <c r="S3071" s="79"/>
      <c r="V3071" s="79"/>
    </row>
    <row r="3072" spans="7:22" x14ac:dyDescent="0.2">
      <c r="G3072" s="79"/>
      <c r="J3072" s="79"/>
      <c r="M3072" s="104"/>
      <c r="P3072" s="79"/>
      <c r="S3072" s="79"/>
      <c r="V3072" s="79"/>
    </row>
    <row r="3073" spans="7:22" x14ac:dyDescent="0.2">
      <c r="G3073" s="79"/>
      <c r="J3073" s="79"/>
      <c r="M3073" s="104"/>
      <c r="P3073" s="79"/>
      <c r="S3073" s="79"/>
      <c r="V3073" s="79"/>
    </row>
    <row r="3074" spans="7:22" x14ac:dyDescent="0.2">
      <c r="G3074" s="79"/>
      <c r="J3074" s="79"/>
      <c r="M3074" s="104"/>
      <c r="P3074" s="79"/>
      <c r="S3074" s="79"/>
      <c r="V3074" s="79"/>
    </row>
    <row r="3075" spans="7:22" x14ac:dyDescent="0.2">
      <c r="G3075" s="79"/>
      <c r="J3075" s="79"/>
      <c r="M3075" s="104"/>
      <c r="P3075" s="79"/>
      <c r="S3075" s="79"/>
      <c r="V3075" s="79"/>
    </row>
    <row r="3076" spans="7:22" x14ac:dyDescent="0.2">
      <c r="G3076" s="79"/>
      <c r="J3076" s="79"/>
      <c r="M3076" s="104"/>
      <c r="P3076" s="79"/>
      <c r="S3076" s="79"/>
      <c r="V3076" s="79"/>
    </row>
    <row r="3077" spans="7:22" x14ac:dyDescent="0.2">
      <c r="G3077" s="79"/>
      <c r="J3077" s="79"/>
      <c r="M3077" s="104"/>
      <c r="P3077" s="79"/>
      <c r="S3077" s="79"/>
      <c r="V3077" s="79"/>
    </row>
    <row r="3078" spans="7:22" x14ac:dyDescent="0.2">
      <c r="G3078" s="79"/>
      <c r="J3078" s="79"/>
      <c r="M3078" s="104"/>
      <c r="P3078" s="79"/>
      <c r="S3078" s="79"/>
      <c r="V3078" s="79"/>
    </row>
    <row r="3079" spans="7:22" x14ac:dyDescent="0.2">
      <c r="G3079" s="79"/>
      <c r="J3079" s="79"/>
      <c r="M3079" s="104"/>
      <c r="P3079" s="79"/>
      <c r="S3079" s="79"/>
      <c r="V3079" s="79"/>
    </row>
    <row r="3080" spans="7:22" x14ac:dyDescent="0.2">
      <c r="G3080" s="79"/>
      <c r="J3080" s="79"/>
      <c r="M3080" s="104"/>
      <c r="P3080" s="79"/>
      <c r="S3080" s="79"/>
      <c r="V3080" s="79"/>
    </row>
    <row r="3081" spans="7:22" x14ac:dyDescent="0.2">
      <c r="G3081" s="79"/>
      <c r="J3081" s="79"/>
      <c r="M3081" s="104"/>
      <c r="P3081" s="79"/>
      <c r="S3081" s="79"/>
      <c r="V3081" s="79"/>
    </row>
    <row r="3082" spans="7:22" x14ac:dyDescent="0.2">
      <c r="G3082" s="79"/>
      <c r="J3082" s="79"/>
      <c r="M3082" s="104"/>
      <c r="P3082" s="79"/>
      <c r="S3082" s="79"/>
      <c r="V3082" s="79"/>
    </row>
    <row r="3083" spans="7:22" x14ac:dyDescent="0.2">
      <c r="G3083" s="79"/>
      <c r="J3083" s="79"/>
      <c r="M3083" s="104"/>
      <c r="P3083" s="79"/>
      <c r="S3083" s="79"/>
      <c r="V3083" s="79"/>
    </row>
    <row r="3084" spans="7:22" x14ac:dyDescent="0.2">
      <c r="G3084" s="79"/>
      <c r="J3084" s="79"/>
      <c r="M3084" s="104"/>
      <c r="P3084" s="79"/>
      <c r="S3084" s="79"/>
      <c r="V3084" s="79"/>
    </row>
    <row r="3085" spans="7:22" x14ac:dyDescent="0.2">
      <c r="G3085" s="79"/>
      <c r="J3085" s="79"/>
      <c r="M3085" s="104"/>
      <c r="P3085" s="79"/>
      <c r="S3085" s="79"/>
      <c r="V3085" s="79"/>
    </row>
    <row r="3086" spans="7:22" x14ac:dyDescent="0.2">
      <c r="G3086" s="79"/>
      <c r="J3086" s="79"/>
      <c r="M3086" s="104"/>
      <c r="P3086" s="79"/>
      <c r="S3086" s="79"/>
      <c r="V3086" s="79"/>
    </row>
    <row r="3087" spans="7:22" x14ac:dyDescent="0.2">
      <c r="G3087" s="79"/>
      <c r="J3087" s="79"/>
      <c r="M3087" s="104"/>
      <c r="P3087" s="79"/>
      <c r="S3087" s="79"/>
      <c r="V3087" s="79"/>
    </row>
    <row r="3088" spans="7:22" x14ac:dyDescent="0.2">
      <c r="G3088" s="79"/>
      <c r="J3088" s="79"/>
      <c r="M3088" s="104"/>
      <c r="P3088" s="79"/>
      <c r="S3088" s="79"/>
      <c r="V3088" s="79"/>
    </row>
    <row r="3089" spans="7:22" x14ac:dyDescent="0.2">
      <c r="G3089" s="79"/>
      <c r="J3089" s="79"/>
      <c r="M3089" s="104"/>
      <c r="P3089" s="79"/>
      <c r="S3089" s="79"/>
      <c r="V3089" s="79"/>
    </row>
    <row r="3090" spans="7:22" x14ac:dyDescent="0.2">
      <c r="G3090" s="79"/>
      <c r="J3090" s="79"/>
      <c r="M3090" s="104"/>
      <c r="P3090" s="79"/>
      <c r="S3090" s="79"/>
      <c r="V3090" s="79"/>
    </row>
    <row r="3091" spans="7:22" x14ac:dyDescent="0.2">
      <c r="G3091" s="79"/>
      <c r="J3091" s="79"/>
      <c r="M3091" s="104"/>
      <c r="P3091" s="79"/>
      <c r="S3091" s="79"/>
      <c r="V3091" s="79"/>
    </row>
    <row r="3092" spans="7:22" x14ac:dyDescent="0.2">
      <c r="G3092" s="79"/>
      <c r="J3092" s="79"/>
      <c r="M3092" s="104"/>
      <c r="P3092" s="79"/>
      <c r="S3092" s="79"/>
      <c r="V3092" s="79"/>
    </row>
    <row r="3093" spans="7:22" x14ac:dyDescent="0.2">
      <c r="G3093" s="79"/>
      <c r="J3093" s="79"/>
      <c r="M3093" s="104"/>
      <c r="P3093" s="79"/>
      <c r="S3093" s="79"/>
      <c r="V3093" s="79"/>
    </row>
    <row r="3094" spans="7:22" x14ac:dyDescent="0.2">
      <c r="G3094" s="79"/>
      <c r="J3094" s="79"/>
      <c r="M3094" s="104"/>
      <c r="P3094" s="79"/>
      <c r="S3094" s="79"/>
      <c r="V3094" s="79"/>
    </row>
    <row r="3095" spans="7:22" x14ac:dyDescent="0.2">
      <c r="G3095" s="79"/>
      <c r="J3095" s="79"/>
      <c r="M3095" s="104"/>
      <c r="P3095" s="79"/>
      <c r="S3095" s="79"/>
      <c r="V3095" s="79"/>
    </row>
    <row r="3096" spans="7:22" x14ac:dyDescent="0.2">
      <c r="G3096" s="79"/>
      <c r="J3096" s="79"/>
      <c r="M3096" s="104"/>
      <c r="P3096" s="79"/>
      <c r="S3096" s="79"/>
      <c r="V3096" s="79"/>
    </row>
    <row r="3097" spans="7:22" x14ac:dyDescent="0.2">
      <c r="G3097" s="79"/>
      <c r="J3097" s="79"/>
      <c r="M3097" s="104"/>
      <c r="P3097" s="79"/>
      <c r="S3097" s="79"/>
      <c r="V3097" s="79"/>
    </row>
    <row r="3098" spans="7:22" x14ac:dyDescent="0.2">
      <c r="G3098" s="79"/>
      <c r="J3098" s="79"/>
      <c r="M3098" s="104"/>
      <c r="P3098" s="79"/>
      <c r="S3098" s="79"/>
      <c r="V3098" s="79"/>
    </row>
    <row r="3099" spans="7:22" x14ac:dyDescent="0.2">
      <c r="G3099" s="79"/>
      <c r="J3099" s="79"/>
      <c r="M3099" s="104"/>
      <c r="P3099" s="79"/>
      <c r="S3099" s="79"/>
      <c r="V3099" s="79"/>
    </row>
    <row r="3100" spans="7:22" x14ac:dyDescent="0.2">
      <c r="G3100" s="79"/>
      <c r="J3100" s="79"/>
      <c r="M3100" s="104"/>
      <c r="P3100" s="79"/>
      <c r="S3100" s="79"/>
      <c r="V3100" s="79"/>
    </row>
    <row r="3101" spans="7:22" x14ac:dyDescent="0.2">
      <c r="G3101" s="79"/>
      <c r="J3101" s="79"/>
      <c r="M3101" s="104"/>
      <c r="P3101" s="79"/>
      <c r="S3101" s="79"/>
      <c r="V3101" s="79"/>
    </row>
    <row r="3102" spans="7:22" x14ac:dyDescent="0.2">
      <c r="G3102" s="79"/>
      <c r="J3102" s="79"/>
      <c r="M3102" s="104"/>
      <c r="P3102" s="79"/>
      <c r="S3102" s="79"/>
      <c r="V3102" s="79"/>
    </row>
    <row r="3103" spans="7:22" x14ac:dyDescent="0.2">
      <c r="G3103" s="79"/>
      <c r="J3103" s="79"/>
      <c r="M3103" s="104"/>
      <c r="P3103" s="79"/>
      <c r="S3103" s="79"/>
      <c r="V3103" s="79"/>
    </row>
    <row r="3104" spans="7:22" x14ac:dyDescent="0.2">
      <c r="G3104" s="79"/>
      <c r="J3104" s="79"/>
      <c r="M3104" s="104"/>
      <c r="P3104" s="79"/>
      <c r="S3104" s="79"/>
      <c r="V3104" s="79"/>
    </row>
    <row r="3105" spans="7:22" x14ac:dyDescent="0.2">
      <c r="G3105" s="79"/>
      <c r="J3105" s="79"/>
      <c r="M3105" s="104"/>
      <c r="P3105" s="79"/>
      <c r="S3105" s="79"/>
      <c r="V3105" s="79"/>
    </row>
    <row r="3106" spans="7:22" x14ac:dyDescent="0.2">
      <c r="G3106" s="79"/>
      <c r="J3106" s="79"/>
      <c r="M3106" s="104"/>
      <c r="P3106" s="79"/>
      <c r="S3106" s="79"/>
      <c r="V3106" s="79"/>
    </row>
    <row r="3107" spans="7:22" x14ac:dyDescent="0.2">
      <c r="G3107" s="79"/>
      <c r="J3107" s="79"/>
      <c r="M3107" s="104"/>
      <c r="P3107" s="79"/>
      <c r="S3107" s="79"/>
      <c r="V3107" s="79"/>
    </row>
    <row r="3108" spans="7:22" x14ac:dyDescent="0.2">
      <c r="G3108" s="79"/>
      <c r="J3108" s="79"/>
      <c r="M3108" s="104"/>
      <c r="P3108" s="79"/>
      <c r="S3108" s="79"/>
      <c r="V3108" s="79"/>
    </row>
    <row r="3109" spans="7:22" x14ac:dyDescent="0.2">
      <c r="G3109" s="79"/>
      <c r="J3109" s="79"/>
      <c r="M3109" s="104"/>
      <c r="P3109" s="79"/>
      <c r="S3109" s="79"/>
      <c r="V3109" s="79"/>
    </row>
    <row r="3110" spans="7:22" x14ac:dyDescent="0.2">
      <c r="G3110" s="79"/>
      <c r="J3110" s="79"/>
      <c r="M3110" s="104"/>
      <c r="P3110" s="79"/>
      <c r="S3110" s="79"/>
      <c r="V3110" s="79"/>
    </row>
    <row r="3111" spans="7:22" x14ac:dyDescent="0.2">
      <c r="G3111" s="79"/>
      <c r="J3111" s="79"/>
      <c r="M3111" s="104"/>
      <c r="P3111" s="79"/>
      <c r="S3111" s="79"/>
      <c r="V3111" s="79"/>
    </row>
    <row r="3112" spans="7:22" x14ac:dyDescent="0.2">
      <c r="G3112" s="79"/>
      <c r="J3112" s="79"/>
      <c r="M3112" s="104"/>
      <c r="P3112" s="79"/>
      <c r="S3112" s="79"/>
      <c r="V3112" s="79"/>
    </row>
    <row r="3113" spans="7:22" x14ac:dyDescent="0.2">
      <c r="G3113" s="79"/>
      <c r="J3113" s="79"/>
      <c r="M3113" s="104"/>
      <c r="P3113" s="79"/>
      <c r="S3113" s="79"/>
      <c r="V3113" s="79"/>
    </row>
    <row r="3114" spans="7:22" x14ac:dyDescent="0.2">
      <c r="G3114" s="79"/>
      <c r="J3114" s="79"/>
      <c r="M3114" s="104"/>
      <c r="P3114" s="79"/>
      <c r="S3114" s="79"/>
      <c r="V3114" s="79"/>
    </row>
    <row r="3115" spans="7:22" x14ac:dyDescent="0.2">
      <c r="G3115" s="79"/>
      <c r="J3115" s="79"/>
      <c r="M3115" s="104"/>
      <c r="P3115" s="79"/>
      <c r="S3115" s="79"/>
      <c r="V3115" s="79"/>
    </row>
    <row r="3116" spans="7:22" x14ac:dyDescent="0.2">
      <c r="G3116" s="79"/>
      <c r="J3116" s="79"/>
      <c r="M3116" s="104"/>
      <c r="P3116" s="79"/>
      <c r="S3116" s="79"/>
      <c r="V3116" s="79"/>
    </row>
    <row r="3117" spans="7:22" x14ac:dyDescent="0.2">
      <c r="G3117" s="79"/>
      <c r="J3117" s="79"/>
      <c r="M3117" s="104"/>
      <c r="P3117" s="79"/>
      <c r="S3117" s="79"/>
      <c r="V3117" s="79"/>
    </row>
    <row r="3118" spans="7:22" x14ac:dyDescent="0.2">
      <c r="G3118" s="79"/>
      <c r="J3118" s="79"/>
      <c r="M3118" s="104"/>
      <c r="P3118" s="79"/>
      <c r="S3118" s="79"/>
      <c r="V3118" s="79"/>
    </row>
    <row r="3119" spans="7:22" x14ac:dyDescent="0.2">
      <c r="G3119" s="79"/>
      <c r="J3119" s="79"/>
      <c r="M3119" s="104"/>
      <c r="P3119" s="79"/>
      <c r="S3119" s="79"/>
      <c r="V3119" s="79"/>
    </row>
    <row r="3120" spans="7:22" x14ac:dyDescent="0.2">
      <c r="G3120" s="79"/>
      <c r="J3120" s="79"/>
      <c r="M3120" s="104"/>
      <c r="P3120" s="79"/>
      <c r="S3120" s="79"/>
      <c r="V3120" s="79"/>
    </row>
    <row r="3121" spans="7:22" x14ac:dyDescent="0.2">
      <c r="G3121" s="79"/>
      <c r="J3121" s="79"/>
      <c r="M3121" s="104"/>
      <c r="P3121" s="79"/>
      <c r="S3121" s="79"/>
      <c r="V3121" s="79"/>
    </row>
    <row r="3122" spans="7:22" x14ac:dyDescent="0.2">
      <c r="G3122" s="79"/>
      <c r="J3122" s="79"/>
      <c r="M3122" s="104"/>
      <c r="P3122" s="79"/>
      <c r="S3122" s="79"/>
      <c r="V3122" s="79"/>
    </row>
    <row r="3123" spans="7:22" x14ac:dyDescent="0.2">
      <c r="G3123" s="79"/>
      <c r="J3123" s="79"/>
      <c r="M3123" s="104"/>
      <c r="P3123" s="79"/>
      <c r="S3123" s="79"/>
      <c r="V3123" s="79"/>
    </row>
    <row r="3124" spans="7:22" x14ac:dyDescent="0.2">
      <c r="G3124" s="79"/>
      <c r="J3124" s="79"/>
      <c r="M3124" s="104"/>
      <c r="P3124" s="79"/>
      <c r="S3124" s="79"/>
      <c r="V3124" s="79"/>
    </row>
    <row r="3125" spans="7:22" x14ac:dyDescent="0.2">
      <c r="G3125" s="79"/>
      <c r="J3125" s="79"/>
      <c r="M3125" s="104"/>
      <c r="P3125" s="79"/>
      <c r="S3125" s="79"/>
      <c r="V3125" s="79"/>
    </row>
    <row r="3126" spans="7:22" x14ac:dyDescent="0.2">
      <c r="G3126" s="79"/>
      <c r="J3126" s="79"/>
      <c r="M3126" s="104"/>
      <c r="P3126" s="79"/>
      <c r="S3126" s="79"/>
      <c r="V3126" s="79"/>
    </row>
    <row r="3127" spans="7:22" x14ac:dyDescent="0.2">
      <c r="G3127" s="79"/>
      <c r="J3127" s="79"/>
      <c r="M3127" s="104"/>
      <c r="P3127" s="79"/>
      <c r="S3127" s="79"/>
      <c r="V3127" s="79"/>
    </row>
    <row r="3128" spans="7:22" x14ac:dyDescent="0.2">
      <c r="G3128" s="79"/>
      <c r="J3128" s="79"/>
      <c r="M3128" s="104"/>
      <c r="P3128" s="79"/>
      <c r="S3128" s="79"/>
      <c r="V3128" s="79"/>
    </row>
    <row r="3129" spans="7:22" x14ac:dyDescent="0.2">
      <c r="G3129" s="79"/>
      <c r="J3129" s="79"/>
      <c r="M3129" s="104"/>
      <c r="P3129" s="79"/>
      <c r="S3129" s="79"/>
      <c r="V3129" s="79"/>
    </row>
    <row r="3130" spans="7:22" x14ac:dyDescent="0.2">
      <c r="G3130" s="79"/>
      <c r="J3130" s="79"/>
      <c r="M3130" s="104"/>
      <c r="P3130" s="79"/>
      <c r="S3130" s="79"/>
      <c r="V3130" s="79"/>
    </row>
    <row r="3131" spans="7:22" x14ac:dyDescent="0.2">
      <c r="G3131" s="79"/>
      <c r="J3131" s="79"/>
      <c r="M3131" s="104"/>
      <c r="P3131" s="79"/>
      <c r="S3131" s="79"/>
      <c r="V3131" s="79"/>
    </row>
    <row r="3132" spans="7:22" x14ac:dyDescent="0.2">
      <c r="G3132" s="79"/>
      <c r="J3132" s="79"/>
      <c r="M3132" s="104"/>
      <c r="P3132" s="79"/>
      <c r="S3132" s="79"/>
      <c r="V3132" s="79"/>
    </row>
    <row r="3133" spans="7:22" x14ac:dyDescent="0.2">
      <c r="G3133" s="79"/>
      <c r="J3133" s="79"/>
      <c r="M3133" s="104"/>
      <c r="P3133" s="79"/>
      <c r="S3133" s="79"/>
      <c r="V3133" s="79"/>
    </row>
    <row r="3134" spans="7:22" x14ac:dyDescent="0.2">
      <c r="G3134" s="79"/>
      <c r="J3134" s="79"/>
      <c r="M3134" s="104"/>
      <c r="P3134" s="79"/>
      <c r="S3134" s="79"/>
      <c r="V3134" s="79"/>
    </row>
    <row r="3135" spans="7:22" x14ac:dyDescent="0.2">
      <c r="G3135" s="79"/>
      <c r="J3135" s="79"/>
      <c r="M3135" s="104"/>
      <c r="P3135" s="79"/>
      <c r="S3135" s="79"/>
      <c r="V3135" s="79"/>
    </row>
    <row r="3136" spans="7:22" x14ac:dyDescent="0.2">
      <c r="G3136" s="79"/>
      <c r="J3136" s="79"/>
      <c r="M3136" s="104"/>
      <c r="P3136" s="79"/>
      <c r="S3136" s="79"/>
      <c r="V3136" s="79"/>
    </row>
    <row r="3137" spans="7:22" x14ac:dyDescent="0.2">
      <c r="G3137" s="79"/>
      <c r="J3137" s="79"/>
      <c r="M3137" s="104"/>
      <c r="P3137" s="79"/>
      <c r="S3137" s="79"/>
      <c r="V3137" s="79"/>
    </row>
    <row r="3138" spans="7:22" x14ac:dyDescent="0.2">
      <c r="G3138" s="79"/>
      <c r="J3138" s="79"/>
      <c r="M3138" s="104"/>
      <c r="P3138" s="79"/>
      <c r="S3138" s="79"/>
      <c r="V3138" s="79"/>
    </row>
    <row r="3139" spans="7:22" x14ac:dyDescent="0.2">
      <c r="G3139" s="79"/>
      <c r="J3139" s="79"/>
      <c r="M3139" s="104"/>
      <c r="P3139" s="79"/>
      <c r="S3139" s="79"/>
      <c r="V3139" s="79"/>
    </row>
    <row r="3140" spans="7:22" x14ac:dyDescent="0.2">
      <c r="G3140" s="79"/>
      <c r="J3140" s="79"/>
      <c r="M3140" s="104"/>
      <c r="P3140" s="79"/>
      <c r="S3140" s="79"/>
      <c r="V3140" s="79"/>
    </row>
    <row r="3141" spans="7:22" x14ac:dyDescent="0.2">
      <c r="G3141" s="79"/>
      <c r="J3141" s="79"/>
      <c r="M3141" s="104"/>
      <c r="P3141" s="79"/>
      <c r="S3141" s="79"/>
      <c r="V3141" s="79"/>
    </row>
    <row r="3142" spans="7:22" x14ac:dyDescent="0.2">
      <c r="G3142" s="79"/>
      <c r="J3142" s="79"/>
      <c r="M3142" s="104"/>
      <c r="P3142" s="79"/>
      <c r="S3142" s="79"/>
      <c r="V3142" s="79"/>
    </row>
    <row r="3143" spans="7:22" x14ac:dyDescent="0.2">
      <c r="G3143" s="79"/>
      <c r="J3143" s="79"/>
      <c r="M3143" s="104"/>
      <c r="P3143" s="79"/>
      <c r="S3143" s="79"/>
      <c r="V3143" s="79"/>
    </row>
    <row r="3144" spans="7:22" x14ac:dyDescent="0.2">
      <c r="G3144" s="79"/>
      <c r="J3144" s="79"/>
      <c r="M3144" s="104"/>
      <c r="P3144" s="79"/>
      <c r="S3144" s="79"/>
      <c r="V3144" s="79"/>
    </row>
    <row r="3145" spans="7:22" x14ac:dyDescent="0.2">
      <c r="G3145" s="79"/>
      <c r="J3145" s="79"/>
      <c r="M3145" s="104"/>
      <c r="P3145" s="79"/>
      <c r="S3145" s="79"/>
      <c r="V3145" s="79"/>
    </row>
    <row r="3146" spans="7:22" x14ac:dyDescent="0.2">
      <c r="G3146" s="79"/>
      <c r="J3146" s="79"/>
      <c r="M3146" s="104"/>
      <c r="P3146" s="79"/>
      <c r="S3146" s="79"/>
      <c r="V3146" s="79"/>
    </row>
    <row r="3147" spans="7:22" x14ac:dyDescent="0.2">
      <c r="G3147" s="79"/>
      <c r="J3147" s="79"/>
      <c r="M3147" s="104"/>
      <c r="P3147" s="79"/>
      <c r="S3147" s="79"/>
      <c r="V3147" s="79"/>
    </row>
    <row r="3148" spans="7:22" x14ac:dyDescent="0.2">
      <c r="G3148" s="79"/>
      <c r="J3148" s="79"/>
      <c r="M3148" s="104"/>
      <c r="P3148" s="79"/>
      <c r="S3148" s="79"/>
      <c r="V3148" s="79"/>
    </row>
    <row r="3149" spans="7:22" x14ac:dyDescent="0.2">
      <c r="G3149" s="79"/>
      <c r="J3149" s="79"/>
      <c r="M3149" s="104"/>
      <c r="P3149" s="79"/>
      <c r="S3149" s="79"/>
      <c r="V3149" s="79"/>
    </row>
    <row r="3150" spans="7:22" x14ac:dyDescent="0.2">
      <c r="G3150" s="79"/>
      <c r="J3150" s="79"/>
      <c r="M3150" s="104"/>
      <c r="P3150" s="79"/>
      <c r="S3150" s="79"/>
      <c r="V3150" s="79"/>
    </row>
    <row r="3151" spans="7:22" x14ac:dyDescent="0.2">
      <c r="G3151" s="79"/>
      <c r="J3151" s="79"/>
      <c r="M3151" s="104"/>
      <c r="P3151" s="79"/>
      <c r="S3151" s="79"/>
      <c r="V3151" s="79"/>
    </row>
    <row r="3152" spans="7:22" x14ac:dyDescent="0.2">
      <c r="G3152" s="79"/>
      <c r="J3152" s="79"/>
      <c r="M3152" s="104"/>
      <c r="P3152" s="79"/>
      <c r="S3152" s="79"/>
      <c r="V3152" s="79"/>
    </row>
    <row r="3153" spans="7:22" x14ac:dyDescent="0.2">
      <c r="G3153" s="79"/>
      <c r="J3153" s="79"/>
      <c r="M3153" s="104"/>
      <c r="P3153" s="79"/>
      <c r="S3153" s="79"/>
      <c r="V3153" s="79"/>
    </row>
    <row r="3154" spans="7:22" x14ac:dyDescent="0.2">
      <c r="G3154" s="79"/>
      <c r="J3154" s="79"/>
      <c r="M3154" s="104"/>
      <c r="P3154" s="79"/>
      <c r="S3154" s="79"/>
      <c r="V3154" s="79"/>
    </row>
    <row r="3155" spans="7:22" x14ac:dyDescent="0.2">
      <c r="G3155" s="79"/>
      <c r="J3155" s="79"/>
      <c r="M3155" s="104"/>
      <c r="P3155" s="79"/>
      <c r="S3155" s="79"/>
      <c r="V3155" s="79"/>
    </row>
    <row r="3156" spans="7:22" x14ac:dyDescent="0.2">
      <c r="G3156" s="79"/>
      <c r="J3156" s="79"/>
      <c r="M3156" s="104"/>
      <c r="P3156" s="79"/>
      <c r="S3156" s="79"/>
      <c r="V3156" s="79"/>
    </row>
    <row r="3157" spans="7:22" x14ac:dyDescent="0.2">
      <c r="G3157" s="79"/>
      <c r="J3157" s="79"/>
      <c r="M3157" s="104"/>
      <c r="P3157" s="79"/>
      <c r="S3157" s="79"/>
      <c r="V3157" s="79"/>
    </row>
    <row r="3158" spans="7:22" x14ac:dyDescent="0.2">
      <c r="G3158" s="79"/>
      <c r="J3158" s="79"/>
      <c r="M3158" s="104"/>
      <c r="P3158" s="79"/>
      <c r="S3158" s="79"/>
      <c r="V3158" s="79"/>
    </row>
    <row r="3159" spans="7:22" x14ac:dyDescent="0.2">
      <c r="G3159" s="79"/>
      <c r="J3159" s="79"/>
      <c r="M3159" s="104"/>
      <c r="P3159" s="79"/>
      <c r="S3159" s="79"/>
      <c r="V3159" s="79"/>
    </row>
    <row r="3160" spans="7:22" x14ac:dyDescent="0.2">
      <c r="G3160" s="79"/>
      <c r="J3160" s="79"/>
      <c r="M3160" s="104"/>
      <c r="P3160" s="79"/>
      <c r="S3160" s="79"/>
      <c r="V3160" s="79"/>
    </row>
    <row r="3161" spans="7:22" x14ac:dyDescent="0.2">
      <c r="G3161" s="79"/>
      <c r="J3161" s="79"/>
      <c r="M3161" s="104"/>
      <c r="P3161" s="79"/>
      <c r="S3161" s="79"/>
      <c r="V3161" s="79"/>
    </row>
    <row r="3162" spans="7:22" x14ac:dyDescent="0.2">
      <c r="G3162" s="79"/>
      <c r="J3162" s="79"/>
      <c r="M3162" s="104"/>
      <c r="P3162" s="79"/>
      <c r="S3162" s="79"/>
      <c r="V3162" s="79"/>
    </row>
    <row r="3163" spans="7:22" x14ac:dyDescent="0.2">
      <c r="G3163" s="79"/>
      <c r="J3163" s="79"/>
      <c r="M3163" s="104"/>
      <c r="P3163" s="79"/>
      <c r="S3163" s="79"/>
      <c r="V3163" s="79"/>
    </row>
    <row r="3164" spans="7:22" x14ac:dyDescent="0.2">
      <c r="G3164" s="79"/>
      <c r="J3164" s="79"/>
      <c r="M3164" s="104"/>
      <c r="P3164" s="79"/>
      <c r="S3164" s="79"/>
      <c r="V3164" s="79"/>
    </row>
    <row r="3165" spans="7:22" x14ac:dyDescent="0.2">
      <c r="G3165" s="79"/>
      <c r="J3165" s="79"/>
      <c r="M3165" s="104"/>
      <c r="P3165" s="79"/>
      <c r="S3165" s="79"/>
      <c r="V3165" s="79"/>
    </row>
    <row r="3166" spans="7:22" x14ac:dyDescent="0.2">
      <c r="G3166" s="79"/>
      <c r="J3166" s="79"/>
      <c r="M3166" s="104"/>
      <c r="P3166" s="79"/>
      <c r="S3166" s="79"/>
      <c r="V3166" s="79"/>
    </row>
    <row r="3167" spans="7:22" x14ac:dyDescent="0.2">
      <c r="G3167" s="79"/>
      <c r="J3167" s="79"/>
      <c r="M3167" s="104"/>
      <c r="P3167" s="79"/>
      <c r="S3167" s="79"/>
      <c r="V3167" s="79"/>
    </row>
    <row r="3168" spans="7:22" x14ac:dyDescent="0.2">
      <c r="G3168" s="79"/>
      <c r="J3168" s="79"/>
      <c r="M3168" s="104"/>
      <c r="P3168" s="79"/>
      <c r="S3168" s="79"/>
      <c r="V3168" s="79"/>
    </row>
    <row r="3169" spans="7:22" x14ac:dyDescent="0.2">
      <c r="G3169" s="79"/>
      <c r="J3169" s="79"/>
      <c r="M3169" s="104"/>
      <c r="P3169" s="79"/>
      <c r="S3169" s="79"/>
      <c r="V3169" s="79"/>
    </row>
    <row r="3170" spans="7:22" x14ac:dyDescent="0.2">
      <c r="G3170" s="79"/>
      <c r="J3170" s="79"/>
      <c r="M3170" s="104"/>
      <c r="P3170" s="79"/>
      <c r="S3170" s="79"/>
      <c r="V3170" s="79"/>
    </row>
    <row r="3171" spans="7:22" x14ac:dyDescent="0.2">
      <c r="G3171" s="79"/>
      <c r="J3171" s="79"/>
      <c r="M3171" s="104"/>
      <c r="P3171" s="79"/>
      <c r="S3171" s="79"/>
      <c r="V3171" s="79"/>
    </row>
    <row r="3172" spans="7:22" x14ac:dyDescent="0.2">
      <c r="G3172" s="79"/>
      <c r="J3172" s="79"/>
      <c r="M3172" s="104"/>
      <c r="P3172" s="79"/>
      <c r="S3172" s="79"/>
      <c r="V3172" s="79"/>
    </row>
    <row r="3173" spans="7:22" x14ac:dyDescent="0.2">
      <c r="G3173" s="79"/>
      <c r="J3173" s="79"/>
      <c r="M3173" s="104"/>
      <c r="P3173" s="79"/>
      <c r="S3173" s="79"/>
      <c r="V3173" s="79"/>
    </row>
    <row r="3174" spans="7:22" x14ac:dyDescent="0.2">
      <c r="G3174" s="79"/>
      <c r="J3174" s="79"/>
      <c r="M3174" s="104"/>
      <c r="P3174" s="79"/>
      <c r="S3174" s="79"/>
      <c r="V3174" s="79"/>
    </row>
    <row r="3175" spans="7:22" x14ac:dyDescent="0.2">
      <c r="G3175" s="79"/>
      <c r="J3175" s="79"/>
      <c r="M3175" s="104"/>
      <c r="P3175" s="79"/>
      <c r="S3175" s="79"/>
      <c r="V3175" s="79"/>
    </row>
    <row r="3176" spans="7:22" x14ac:dyDescent="0.2">
      <c r="G3176" s="79"/>
      <c r="J3176" s="79"/>
      <c r="M3176" s="104"/>
      <c r="P3176" s="79"/>
      <c r="S3176" s="79"/>
      <c r="V3176" s="79"/>
    </row>
    <row r="3177" spans="7:22" x14ac:dyDescent="0.2">
      <c r="G3177" s="79"/>
      <c r="J3177" s="79"/>
      <c r="M3177" s="104"/>
      <c r="P3177" s="79"/>
      <c r="S3177" s="79"/>
      <c r="V3177" s="79"/>
    </row>
    <row r="3178" spans="7:22" x14ac:dyDescent="0.2">
      <c r="G3178" s="79"/>
      <c r="J3178" s="79"/>
      <c r="M3178" s="104"/>
      <c r="P3178" s="79"/>
      <c r="S3178" s="79"/>
      <c r="V3178" s="79"/>
    </row>
    <row r="3179" spans="7:22" x14ac:dyDescent="0.2">
      <c r="G3179" s="79"/>
      <c r="J3179" s="79"/>
      <c r="M3179" s="104"/>
      <c r="P3179" s="79"/>
      <c r="S3179" s="79"/>
      <c r="V3179" s="79"/>
    </row>
    <row r="3180" spans="7:22" x14ac:dyDescent="0.2">
      <c r="G3180" s="79"/>
      <c r="J3180" s="79"/>
      <c r="M3180" s="104"/>
      <c r="P3180" s="79"/>
      <c r="S3180" s="79"/>
      <c r="V3180" s="79"/>
    </row>
    <row r="3181" spans="7:22" x14ac:dyDescent="0.2">
      <c r="G3181" s="79"/>
      <c r="J3181" s="79"/>
      <c r="M3181" s="104"/>
      <c r="P3181" s="79"/>
      <c r="S3181" s="79"/>
      <c r="V3181" s="79"/>
    </row>
    <row r="3182" spans="7:22" x14ac:dyDescent="0.2">
      <c r="G3182" s="79"/>
      <c r="J3182" s="79"/>
      <c r="M3182" s="104"/>
      <c r="P3182" s="79"/>
      <c r="S3182" s="79"/>
      <c r="V3182" s="79"/>
    </row>
    <row r="3183" spans="7:22" x14ac:dyDescent="0.2">
      <c r="G3183" s="79"/>
      <c r="J3183" s="79"/>
      <c r="M3183" s="104"/>
      <c r="P3183" s="79"/>
      <c r="S3183" s="79"/>
      <c r="V3183" s="79"/>
    </row>
    <row r="3184" spans="7:22" x14ac:dyDescent="0.2">
      <c r="G3184" s="79"/>
      <c r="J3184" s="79"/>
      <c r="M3184" s="104"/>
      <c r="P3184" s="79"/>
      <c r="S3184" s="79"/>
      <c r="V3184" s="79"/>
    </row>
    <row r="3185" spans="7:22" x14ac:dyDescent="0.2">
      <c r="G3185" s="79"/>
      <c r="J3185" s="79"/>
      <c r="M3185" s="104"/>
      <c r="P3185" s="79"/>
      <c r="S3185" s="79"/>
      <c r="V3185" s="79"/>
    </row>
    <row r="3186" spans="7:22" x14ac:dyDescent="0.2">
      <c r="G3186" s="79"/>
      <c r="J3186" s="79"/>
      <c r="M3186" s="104"/>
      <c r="P3186" s="79"/>
      <c r="S3186" s="79"/>
      <c r="V3186" s="79"/>
    </row>
    <row r="3187" spans="7:22" x14ac:dyDescent="0.2">
      <c r="G3187" s="79"/>
      <c r="J3187" s="79"/>
      <c r="M3187" s="104"/>
      <c r="P3187" s="79"/>
      <c r="S3187" s="79"/>
      <c r="V3187" s="79"/>
    </row>
    <row r="3188" spans="7:22" x14ac:dyDescent="0.2">
      <c r="G3188" s="79"/>
      <c r="J3188" s="79"/>
      <c r="M3188" s="104"/>
      <c r="P3188" s="79"/>
      <c r="S3188" s="79"/>
      <c r="V3188" s="79"/>
    </row>
    <row r="3189" spans="7:22" x14ac:dyDescent="0.2">
      <c r="G3189" s="79"/>
      <c r="J3189" s="79"/>
      <c r="M3189" s="104"/>
      <c r="P3189" s="79"/>
      <c r="S3189" s="79"/>
      <c r="V3189" s="79"/>
    </row>
    <row r="3190" spans="7:22" x14ac:dyDescent="0.2">
      <c r="G3190" s="79"/>
      <c r="J3190" s="79"/>
      <c r="M3190" s="104"/>
      <c r="P3190" s="79"/>
      <c r="S3190" s="79"/>
      <c r="V3190" s="79"/>
    </row>
    <row r="3191" spans="7:22" x14ac:dyDescent="0.2">
      <c r="G3191" s="79"/>
      <c r="J3191" s="79"/>
      <c r="M3191" s="104"/>
      <c r="P3191" s="79"/>
      <c r="S3191" s="79"/>
      <c r="V3191" s="79"/>
    </row>
    <row r="3192" spans="7:22" x14ac:dyDescent="0.2">
      <c r="G3192" s="79"/>
      <c r="J3192" s="79"/>
      <c r="M3192" s="104"/>
      <c r="P3192" s="79"/>
      <c r="S3192" s="79"/>
      <c r="V3192" s="79"/>
    </row>
    <row r="3193" spans="7:22" x14ac:dyDescent="0.2">
      <c r="G3193" s="79"/>
      <c r="J3193" s="79"/>
      <c r="M3193" s="104"/>
      <c r="P3193" s="79"/>
      <c r="S3193" s="79"/>
      <c r="V3193" s="79"/>
    </row>
    <row r="3194" spans="7:22" x14ac:dyDescent="0.2">
      <c r="G3194" s="79"/>
      <c r="J3194" s="79"/>
      <c r="M3194" s="104"/>
      <c r="P3194" s="79"/>
      <c r="S3194" s="79"/>
      <c r="V3194" s="79"/>
    </row>
    <row r="3195" spans="7:22" x14ac:dyDescent="0.2">
      <c r="G3195" s="79"/>
      <c r="J3195" s="79"/>
      <c r="M3195" s="104"/>
      <c r="P3195" s="79"/>
      <c r="S3195" s="79"/>
      <c r="V3195" s="79"/>
    </row>
    <row r="3196" spans="7:22" x14ac:dyDescent="0.2">
      <c r="G3196" s="79"/>
      <c r="J3196" s="79"/>
      <c r="M3196" s="104"/>
      <c r="P3196" s="79"/>
      <c r="S3196" s="79"/>
      <c r="V3196" s="79"/>
    </row>
    <row r="3197" spans="7:22" x14ac:dyDescent="0.2">
      <c r="G3197" s="79"/>
      <c r="J3197" s="79"/>
      <c r="M3197" s="104"/>
      <c r="P3197" s="79"/>
      <c r="S3197" s="79"/>
      <c r="V3197" s="79"/>
    </row>
    <row r="3198" spans="7:22" x14ac:dyDescent="0.2">
      <c r="G3198" s="79"/>
      <c r="J3198" s="79"/>
      <c r="M3198" s="104"/>
      <c r="P3198" s="79"/>
      <c r="S3198" s="79"/>
      <c r="V3198" s="79"/>
    </row>
    <row r="3199" spans="7:22" x14ac:dyDescent="0.2">
      <c r="G3199" s="79"/>
      <c r="J3199" s="79"/>
      <c r="M3199" s="104"/>
      <c r="P3199" s="79"/>
      <c r="S3199" s="79"/>
      <c r="V3199" s="79"/>
    </row>
    <row r="3200" spans="7:22" x14ac:dyDescent="0.2">
      <c r="G3200" s="79"/>
      <c r="J3200" s="79"/>
      <c r="M3200" s="104"/>
      <c r="P3200" s="79"/>
      <c r="S3200" s="79"/>
      <c r="V3200" s="79"/>
    </row>
    <row r="3201" spans="7:22" x14ac:dyDescent="0.2">
      <c r="G3201" s="79"/>
      <c r="J3201" s="79"/>
      <c r="M3201" s="104"/>
      <c r="P3201" s="79"/>
      <c r="S3201" s="79"/>
      <c r="V3201" s="79"/>
    </row>
    <row r="3202" spans="7:22" x14ac:dyDescent="0.2">
      <c r="G3202" s="79"/>
      <c r="J3202" s="79"/>
      <c r="M3202" s="104"/>
      <c r="P3202" s="79"/>
      <c r="S3202" s="79"/>
      <c r="V3202" s="79"/>
    </row>
    <row r="3203" spans="7:22" x14ac:dyDescent="0.2">
      <c r="G3203" s="79"/>
      <c r="J3203" s="79"/>
      <c r="M3203" s="104"/>
      <c r="P3203" s="79"/>
      <c r="S3203" s="79"/>
      <c r="V3203" s="79"/>
    </row>
    <row r="3204" spans="7:22" x14ac:dyDescent="0.2">
      <c r="G3204" s="79"/>
      <c r="J3204" s="79"/>
      <c r="M3204" s="104"/>
      <c r="P3204" s="79"/>
      <c r="S3204" s="79"/>
      <c r="V3204" s="79"/>
    </row>
    <row r="3205" spans="7:22" x14ac:dyDescent="0.2">
      <c r="G3205" s="79"/>
      <c r="J3205" s="79"/>
      <c r="M3205" s="104"/>
      <c r="P3205" s="79"/>
      <c r="S3205" s="79"/>
      <c r="V3205" s="79"/>
    </row>
    <row r="3206" spans="7:22" x14ac:dyDescent="0.2">
      <c r="G3206" s="79"/>
      <c r="J3206" s="79"/>
      <c r="M3206" s="104"/>
      <c r="P3206" s="79"/>
      <c r="S3206" s="79"/>
      <c r="V3206" s="79"/>
    </row>
    <row r="3207" spans="7:22" x14ac:dyDescent="0.2">
      <c r="G3207" s="79"/>
      <c r="J3207" s="79"/>
      <c r="M3207" s="104"/>
      <c r="P3207" s="79"/>
      <c r="S3207" s="79"/>
      <c r="V3207" s="79"/>
    </row>
    <row r="3208" spans="7:22" x14ac:dyDescent="0.2">
      <c r="G3208" s="79"/>
      <c r="J3208" s="79"/>
      <c r="M3208" s="104"/>
      <c r="P3208" s="79"/>
      <c r="S3208" s="79"/>
      <c r="V3208" s="79"/>
    </row>
    <row r="3209" spans="7:22" x14ac:dyDescent="0.2">
      <c r="G3209" s="79"/>
      <c r="J3209" s="79"/>
      <c r="M3209" s="104"/>
      <c r="P3209" s="79"/>
      <c r="S3209" s="79"/>
      <c r="V3209" s="79"/>
    </row>
    <row r="3210" spans="7:22" x14ac:dyDescent="0.2">
      <c r="G3210" s="79"/>
      <c r="J3210" s="79"/>
      <c r="M3210" s="104"/>
      <c r="P3210" s="79"/>
      <c r="S3210" s="79"/>
      <c r="V3210" s="79"/>
    </row>
    <row r="3211" spans="7:22" x14ac:dyDescent="0.2">
      <c r="G3211" s="79"/>
      <c r="J3211" s="79"/>
      <c r="M3211" s="104"/>
      <c r="P3211" s="79"/>
      <c r="S3211" s="79"/>
      <c r="V3211" s="79"/>
    </row>
    <row r="3212" spans="7:22" x14ac:dyDescent="0.2">
      <c r="G3212" s="79"/>
      <c r="J3212" s="79"/>
      <c r="M3212" s="104"/>
      <c r="P3212" s="79"/>
      <c r="S3212" s="79"/>
      <c r="V3212" s="79"/>
    </row>
    <row r="3213" spans="7:22" x14ac:dyDescent="0.2">
      <c r="G3213" s="79"/>
      <c r="J3213" s="79"/>
      <c r="M3213" s="104"/>
      <c r="P3213" s="79"/>
      <c r="S3213" s="79"/>
      <c r="V3213" s="79"/>
    </row>
    <row r="3214" spans="7:22" x14ac:dyDescent="0.2">
      <c r="G3214" s="79"/>
      <c r="J3214" s="79"/>
      <c r="M3214" s="104"/>
      <c r="P3214" s="79"/>
      <c r="S3214" s="79"/>
      <c r="V3214" s="79"/>
    </row>
    <row r="3215" spans="7:22" x14ac:dyDescent="0.2">
      <c r="G3215" s="79"/>
      <c r="J3215" s="79"/>
      <c r="M3215" s="104"/>
      <c r="P3215" s="79"/>
      <c r="S3215" s="79"/>
      <c r="V3215" s="79"/>
    </row>
    <row r="3216" spans="7:22" x14ac:dyDescent="0.2">
      <c r="G3216" s="79"/>
      <c r="J3216" s="79"/>
      <c r="M3216" s="104"/>
      <c r="P3216" s="79"/>
      <c r="S3216" s="79"/>
      <c r="V3216" s="79"/>
    </row>
    <row r="3217" spans="7:22" x14ac:dyDescent="0.2">
      <c r="G3217" s="79"/>
      <c r="J3217" s="79"/>
      <c r="M3217" s="104"/>
      <c r="P3217" s="79"/>
      <c r="S3217" s="79"/>
      <c r="V3217" s="79"/>
    </row>
    <row r="3218" spans="7:22" x14ac:dyDescent="0.2">
      <c r="G3218" s="79"/>
      <c r="J3218" s="79"/>
      <c r="M3218" s="104"/>
      <c r="P3218" s="79"/>
      <c r="S3218" s="79"/>
      <c r="V3218" s="79"/>
    </row>
    <row r="3219" spans="7:22" x14ac:dyDescent="0.2">
      <c r="G3219" s="79"/>
      <c r="J3219" s="79"/>
      <c r="M3219" s="104"/>
      <c r="P3219" s="79"/>
      <c r="S3219" s="79"/>
      <c r="V3219" s="79"/>
    </row>
    <row r="3220" spans="7:22" x14ac:dyDescent="0.2">
      <c r="G3220" s="79"/>
      <c r="J3220" s="79"/>
      <c r="M3220" s="104"/>
      <c r="P3220" s="79"/>
      <c r="S3220" s="79"/>
      <c r="V3220" s="79"/>
    </row>
    <row r="3221" spans="7:22" x14ac:dyDescent="0.2">
      <c r="G3221" s="79"/>
      <c r="J3221" s="79"/>
      <c r="M3221" s="104"/>
      <c r="P3221" s="79"/>
      <c r="S3221" s="79"/>
      <c r="V3221" s="79"/>
    </row>
    <row r="3222" spans="7:22" x14ac:dyDescent="0.2">
      <c r="G3222" s="79"/>
      <c r="J3222" s="79"/>
      <c r="M3222" s="104"/>
      <c r="P3222" s="79"/>
      <c r="S3222" s="79"/>
      <c r="V3222" s="79"/>
    </row>
    <row r="3223" spans="7:22" x14ac:dyDescent="0.2">
      <c r="G3223" s="79"/>
      <c r="J3223" s="79"/>
      <c r="M3223" s="104"/>
      <c r="P3223" s="79"/>
      <c r="S3223" s="79"/>
      <c r="V3223" s="79"/>
    </row>
    <row r="3224" spans="7:22" x14ac:dyDescent="0.2">
      <c r="G3224" s="79"/>
      <c r="J3224" s="79"/>
      <c r="M3224" s="104"/>
      <c r="P3224" s="79"/>
      <c r="S3224" s="79"/>
      <c r="V3224" s="79"/>
    </row>
    <row r="3225" spans="7:22" x14ac:dyDescent="0.2">
      <c r="G3225" s="79"/>
      <c r="J3225" s="79"/>
      <c r="M3225" s="104"/>
      <c r="P3225" s="79"/>
      <c r="S3225" s="79"/>
      <c r="V3225" s="79"/>
    </row>
    <row r="3226" spans="7:22" x14ac:dyDescent="0.2">
      <c r="G3226" s="79"/>
      <c r="J3226" s="79"/>
      <c r="M3226" s="104"/>
      <c r="P3226" s="79"/>
      <c r="S3226" s="79"/>
      <c r="V3226" s="79"/>
    </row>
    <row r="3227" spans="7:22" x14ac:dyDescent="0.2">
      <c r="G3227" s="79"/>
      <c r="J3227" s="79"/>
      <c r="M3227" s="104"/>
      <c r="P3227" s="79"/>
      <c r="S3227" s="79"/>
      <c r="V3227" s="79"/>
    </row>
    <row r="3228" spans="7:22" x14ac:dyDescent="0.2">
      <c r="G3228" s="79"/>
      <c r="J3228" s="79"/>
      <c r="M3228" s="104"/>
      <c r="P3228" s="79"/>
      <c r="S3228" s="79"/>
      <c r="V3228" s="79"/>
    </row>
    <row r="3229" spans="7:22" x14ac:dyDescent="0.2">
      <c r="G3229" s="79"/>
      <c r="J3229" s="79"/>
      <c r="M3229" s="104"/>
      <c r="P3229" s="79"/>
      <c r="S3229" s="79"/>
      <c r="V3229" s="79"/>
    </row>
    <row r="3230" spans="7:22" x14ac:dyDescent="0.2">
      <c r="G3230" s="79"/>
      <c r="J3230" s="79"/>
      <c r="M3230" s="104"/>
      <c r="P3230" s="79"/>
      <c r="S3230" s="79"/>
      <c r="V3230" s="79"/>
    </row>
    <row r="3231" spans="7:22" x14ac:dyDescent="0.2">
      <c r="G3231" s="79"/>
      <c r="J3231" s="79"/>
      <c r="M3231" s="104"/>
      <c r="P3231" s="79"/>
      <c r="S3231" s="79"/>
      <c r="V3231" s="79"/>
    </row>
    <row r="3232" spans="7:22" x14ac:dyDescent="0.2">
      <c r="G3232" s="79"/>
      <c r="J3232" s="79"/>
      <c r="M3232" s="104"/>
      <c r="P3232" s="79"/>
      <c r="S3232" s="79"/>
      <c r="V3232" s="79"/>
    </row>
    <row r="3233" spans="7:22" x14ac:dyDescent="0.2">
      <c r="G3233" s="79"/>
      <c r="J3233" s="79"/>
      <c r="M3233" s="104"/>
      <c r="P3233" s="79"/>
      <c r="S3233" s="79"/>
      <c r="V3233" s="79"/>
    </row>
    <row r="3234" spans="7:22" x14ac:dyDescent="0.2">
      <c r="G3234" s="79"/>
      <c r="J3234" s="79"/>
      <c r="M3234" s="104"/>
      <c r="P3234" s="79"/>
      <c r="S3234" s="79"/>
      <c r="V3234" s="79"/>
    </row>
    <row r="3235" spans="7:22" x14ac:dyDescent="0.2">
      <c r="G3235" s="79"/>
      <c r="J3235" s="79"/>
      <c r="M3235" s="104"/>
      <c r="P3235" s="79"/>
      <c r="S3235" s="79"/>
      <c r="V3235" s="79"/>
    </row>
    <row r="3236" spans="7:22" x14ac:dyDescent="0.2">
      <c r="G3236" s="79"/>
      <c r="J3236" s="79"/>
      <c r="M3236" s="104"/>
      <c r="P3236" s="79"/>
      <c r="S3236" s="79"/>
      <c r="V3236" s="79"/>
    </row>
    <row r="3237" spans="7:22" x14ac:dyDescent="0.2">
      <c r="G3237" s="79"/>
      <c r="J3237" s="79"/>
      <c r="M3237" s="104"/>
      <c r="P3237" s="79"/>
      <c r="S3237" s="79"/>
      <c r="V3237" s="79"/>
    </row>
    <row r="3238" spans="7:22" x14ac:dyDescent="0.2">
      <c r="G3238" s="79"/>
      <c r="J3238" s="79"/>
      <c r="M3238" s="104"/>
      <c r="P3238" s="79"/>
      <c r="S3238" s="79"/>
      <c r="V3238" s="79"/>
    </row>
    <row r="3239" spans="7:22" x14ac:dyDescent="0.2">
      <c r="G3239" s="79"/>
      <c r="J3239" s="79"/>
      <c r="M3239" s="104"/>
      <c r="P3239" s="79"/>
      <c r="S3239" s="79"/>
      <c r="V3239" s="79"/>
    </row>
    <row r="3240" spans="7:22" x14ac:dyDescent="0.2">
      <c r="G3240" s="79"/>
      <c r="J3240" s="79"/>
      <c r="M3240" s="104"/>
      <c r="P3240" s="79"/>
      <c r="S3240" s="79"/>
      <c r="V3240" s="79"/>
    </row>
    <row r="3241" spans="7:22" x14ac:dyDescent="0.2">
      <c r="G3241" s="79"/>
      <c r="J3241" s="79"/>
      <c r="M3241" s="104"/>
      <c r="P3241" s="79"/>
      <c r="S3241" s="79"/>
      <c r="V3241" s="79"/>
    </row>
    <row r="3242" spans="7:22" x14ac:dyDescent="0.2">
      <c r="G3242" s="79"/>
      <c r="J3242" s="79"/>
      <c r="M3242" s="104"/>
      <c r="P3242" s="79"/>
      <c r="S3242" s="79"/>
      <c r="V3242" s="79"/>
    </row>
    <row r="3243" spans="7:22" x14ac:dyDescent="0.2">
      <c r="G3243" s="79"/>
      <c r="J3243" s="79"/>
      <c r="M3243" s="104"/>
      <c r="P3243" s="79"/>
      <c r="S3243" s="79"/>
      <c r="V3243" s="79"/>
    </row>
    <row r="3244" spans="7:22" x14ac:dyDescent="0.2">
      <c r="G3244" s="79"/>
      <c r="J3244" s="79"/>
      <c r="M3244" s="104"/>
      <c r="P3244" s="79"/>
      <c r="S3244" s="79"/>
      <c r="V3244" s="79"/>
    </row>
    <row r="3245" spans="7:22" x14ac:dyDescent="0.2">
      <c r="G3245" s="79"/>
      <c r="J3245" s="79"/>
      <c r="M3245" s="104"/>
      <c r="P3245" s="79"/>
      <c r="S3245" s="79"/>
      <c r="V3245" s="79"/>
    </row>
    <row r="3246" spans="7:22" x14ac:dyDescent="0.2">
      <c r="G3246" s="79"/>
      <c r="J3246" s="79"/>
      <c r="M3246" s="104"/>
      <c r="P3246" s="79"/>
      <c r="S3246" s="79"/>
      <c r="V3246" s="79"/>
    </row>
    <row r="3247" spans="7:22" x14ac:dyDescent="0.2">
      <c r="G3247" s="79"/>
      <c r="J3247" s="79"/>
      <c r="M3247" s="104"/>
      <c r="P3247" s="79"/>
      <c r="S3247" s="79"/>
      <c r="V3247" s="79"/>
    </row>
    <row r="3248" spans="7:22" x14ac:dyDescent="0.2">
      <c r="G3248" s="79"/>
      <c r="J3248" s="79"/>
      <c r="M3248" s="104"/>
      <c r="P3248" s="79"/>
      <c r="S3248" s="79"/>
      <c r="V3248" s="79"/>
    </row>
    <row r="3249" spans="7:22" x14ac:dyDescent="0.2">
      <c r="G3249" s="79"/>
      <c r="J3249" s="79"/>
      <c r="M3249" s="104"/>
      <c r="P3249" s="79"/>
      <c r="S3249" s="79"/>
      <c r="V3249" s="79"/>
    </row>
    <row r="3250" spans="7:22" x14ac:dyDescent="0.2">
      <c r="G3250" s="79"/>
      <c r="J3250" s="79"/>
      <c r="M3250" s="104"/>
      <c r="P3250" s="79"/>
      <c r="S3250" s="79"/>
      <c r="V3250" s="79"/>
    </row>
    <row r="3251" spans="7:22" x14ac:dyDescent="0.2">
      <c r="G3251" s="79"/>
      <c r="J3251" s="79"/>
      <c r="M3251" s="104"/>
      <c r="P3251" s="79"/>
      <c r="S3251" s="79"/>
      <c r="V3251" s="79"/>
    </row>
    <row r="3252" spans="7:22" x14ac:dyDescent="0.2">
      <c r="G3252" s="79"/>
      <c r="J3252" s="79"/>
      <c r="M3252" s="104"/>
      <c r="P3252" s="79"/>
      <c r="S3252" s="79"/>
      <c r="V3252" s="79"/>
    </row>
    <row r="3253" spans="7:22" x14ac:dyDescent="0.2">
      <c r="G3253" s="79"/>
      <c r="J3253" s="79"/>
      <c r="M3253" s="104"/>
      <c r="P3253" s="79"/>
      <c r="S3253" s="79"/>
      <c r="V3253" s="79"/>
    </row>
    <row r="3254" spans="7:22" x14ac:dyDescent="0.2">
      <c r="G3254" s="79"/>
      <c r="J3254" s="79"/>
      <c r="M3254" s="104"/>
      <c r="P3254" s="79"/>
      <c r="S3254" s="79"/>
      <c r="V3254" s="79"/>
    </row>
    <row r="3255" spans="7:22" x14ac:dyDescent="0.2">
      <c r="G3255" s="79"/>
      <c r="J3255" s="79"/>
      <c r="M3255" s="104"/>
      <c r="P3255" s="79"/>
      <c r="S3255" s="79"/>
      <c r="V3255" s="79"/>
    </row>
    <row r="3256" spans="7:22" x14ac:dyDescent="0.2">
      <c r="G3256" s="79"/>
      <c r="J3256" s="79"/>
      <c r="M3256" s="104"/>
      <c r="P3256" s="79"/>
      <c r="S3256" s="79"/>
      <c r="V3256" s="79"/>
    </row>
    <row r="3257" spans="7:22" x14ac:dyDescent="0.2">
      <c r="G3257" s="79"/>
      <c r="J3257" s="79"/>
      <c r="M3257" s="104"/>
      <c r="P3257" s="79"/>
      <c r="S3257" s="79"/>
      <c r="V3257" s="79"/>
    </row>
    <row r="3258" spans="7:22" x14ac:dyDescent="0.2">
      <c r="G3258" s="79"/>
      <c r="J3258" s="79"/>
      <c r="M3258" s="104"/>
      <c r="P3258" s="79"/>
      <c r="S3258" s="79"/>
      <c r="V3258" s="79"/>
    </row>
    <row r="3259" spans="7:22" x14ac:dyDescent="0.2">
      <c r="G3259" s="79"/>
      <c r="J3259" s="79"/>
      <c r="M3259" s="104"/>
      <c r="P3259" s="79"/>
      <c r="S3259" s="79"/>
      <c r="V3259" s="79"/>
    </row>
    <row r="3260" spans="7:22" x14ac:dyDescent="0.2">
      <c r="G3260" s="79"/>
      <c r="J3260" s="79"/>
      <c r="M3260" s="104"/>
      <c r="P3260" s="79"/>
      <c r="S3260" s="79"/>
      <c r="V3260" s="79"/>
    </row>
    <row r="3261" spans="7:22" x14ac:dyDescent="0.2">
      <c r="G3261" s="79"/>
      <c r="J3261" s="79"/>
      <c r="M3261" s="104"/>
      <c r="P3261" s="79"/>
      <c r="S3261" s="79"/>
      <c r="V3261" s="79"/>
    </row>
    <row r="3262" spans="7:22" x14ac:dyDescent="0.2">
      <c r="G3262" s="79"/>
      <c r="J3262" s="79"/>
      <c r="M3262" s="104"/>
      <c r="P3262" s="79"/>
      <c r="S3262" s="79"/>
      <c r="V3262" s="79"/>
    </row>
    <row r="3263" spans="7:22" x14ac:dyDescent="0.2">
      <c r="G3263" s="79"/>
      <c r="J3263" s="79"/>
      <c r="M3263" s="104"/>
      <c r="P3263" s="79"/>
      <c r="S3263" s="79"/>
      <c r="V3263" s="79"/>
    </row>
    <row r="3264" spans="7:22" x14ac:dyDescent="0.2">
      <c r="G3264" s="79"/>
      <c r="J3264" s="79"/>
      <c r="M3264" s="104"/>
      <c r="P3264" s="79"/>
      <c r="S3264" s="79"/>
      <c r="V3264" s="79"/>
    </row>
    <row r="3265" spans="7:22" x14ac:dyDescent="0.2">
      <c r="G3265" s="79"/>
      <c r="J3265" s="79"/>
      <c r="M3265" s="104"/>
      <c r="P3265" s="79"/>
      <c r="S3265" s="79"/>
      <c r="V3265" s="79"/>
    </row>
    <row r="3266" spans="7:22" x14ac:dyDescent="0.2">
      <c r="G3266" s="79"/>
      <c r="J3266" s="79"/>
      <c r="M3266" s="104"/>
      <c r="P3266" s="79"/>
      <c r="S3266" s="79"/>
      <c r="V3266" s="79"/>
    </row>
    <row r="3267" spans="7:22" x14ac:dyDescent="0.2">
      <c r="G3267" s="79"/>
      <c r="J3267" s="79"/>
      <c r="M3267" s="104"/>
      <c r="P3267" s="79"/>
      <c r="S3267" s="79"/>
      <c r="V3267" s="79"/>
    </row>
    <row r="3268" spans="7:22" x14ac:dyDescent="0.2">
      <c r="G3268" s="79"/>
      <c r="J3268" s="79"/>
      <c r="M3268" s="104"/>
      <c r="P3268" s="79"/>
      <c r="S3268" s="79"/>
      <c r="V3268" s="79"/>
    </row>
    <row r="3269" spans="7:22" x14ac:dyDescent="0.2">
      <c r="G3269" s="79"/>
      <c r="J3269" s="79"/>
      <c r="M3269" s="104"/>
      <c r="P3269" s="79"/>
      <c r="S3269" s="79"/>
      <c r="V3269" s="79"/>
    </row>
    <row r="3270" spans="7:22" x14ac:dyDescent="0.2">
      <c r="G3270" s="79"/>
      <c r="J3270" s="79"/>
      <c r="M3270" s="104"/>
      <c r="P3270" s="79"/>
      <c r="S3270" s="79"/>
      <c r="V3270" s="79"/>
    </row>
    <row r="3271" spans="7:22" x14ac:dyDescent="0.2">
      <c r="G3271" s="79"/>
      <c r="J3271" s="79"/>
      <c r="M3271" s="104"/>
      <c r="P3271" s="79"/>
      <c r="S3271" s="79"/>
      <c r="V3271" s="79"/>
    </row>
    <row r="3272" spans="7:22" x14ac:dyDescent="0.2">
      <c r="G3272" s="79"/>
      <c r="J3272" s="79"/>
      <c r="M3272" s="104"/>
      <c r="P3272" s="79"/>
      <c r="S3272" s="79"/>
      <c r="V3272" s="79"/>
    </row>
    <row r="3273" spans="7:22" x14ac:dyDescent="0.2">
      <c r="G3273" s="79"/>
      <c r="J3273" s="79"/>
      <c r="M3273" s="104"/>
      <c r="P3273" s="79"/>
      <c r="S3273" s="79"/>
      <c r="V3273" s="79"/>
    </row>
    <row r="3274" spans="7:22" x14ac:dyDescent="0.2">
      <c r="G3274" s="79"/>
      <c r="J3274" s="79"/>
      <c r="M3274" s="104"/>
      <c r="P3274" s="79"/>
      <c r="S3274" s="79"/>
      <c r="V3274" s="79"/>
    </row>
    <row r="3275" spans="7:22" x14ac:dyDescent="0.2">
      <c r="G3275" s="79"/>
      <c r="J3275" s="79"/>
      <c r="M3275" s="104"/>
      <c r="P3275" s="79"/>
      <c r="S3275" s="79"/>
      <c r="V3275" s="79"/>
    </row>
    <row r="3276" spans="7:22" x14ac:dyDescent="0.2">
      <c r="G3276" s="79"/>
      <c r="J3276" s="79"/>
      <c r="M3276" s="104"/>
      <c r="P3276" s="79"/>
      <c r="S3276" s="79"/>
      <c r="V3276" s="79"/>
    </row>
    <row r="3277" spans="7:22" x14ac:dyDescent="0.2">
      <c r="G3277" s="79"/>
      <c r="J3277" s="79"/>
      <c r="M3277" s="104"/>
      <c r="P3277" s="79"/>
      <c r="S3277" s="79"/>
      <c r="V3277" s="79"/>
    </row>
    <row r="3278" spans="7:22" x14ac:dyDescent="0.2">
      <c r="G3278" s="79"/>
      <c r="J3278" s="79"/>
      <c r="M3278" s="104"/>
      <c r="P3278" s="79"/>
      <c r="S3278" s="79"/>
      <c r="V3278" s="79"/>
    </row>
    <row r="3279" spans="7:22" x14ac:dyDescent="0.2">
      <c r="G3279" s="79"/>
      <c r="J3279" s="79"/>
      <c r="M3279" s="104"/>
      <c r="P3279" s="79"/>
      <c r="S3279" s="79"/>
      <c r="V3279" s="79"/>
    </row>
    <row r="3280" spans="7:22" x14ac:dyDescent="0.2">
      <c r="G3280" s="79"/>
      <c r="J3280" s="79"/>
      <c r="M3280" s="104"/>
      <c r="P3280" s="79"/>
      <c r="S3280" s="79"/>
      <c r="V3280" s="79"/>
    </row>
    <row r="3281" spans="7:22" x14ac:dyDescent="0.2">
      <c r="G3281" s="79"/>
      <c r="J3281" s="79"/>
      <c r="M3281" s="104"/>
      <c r="P3281" s="79"/>
      <c r="S3281" s="79"/>
      <c r="V3281" s="79"/>
    </row>
    <row r="3282" spans="7:22" x14ac:dyDescent="0.2">
      <c r="G3282" s="79"/>
      <c r="J3282" s="79"/>
      <c r="M3282" s="104"/>
      <c r="P3282" s="79"/>
      <c r="S3282" s="79"/>
      <c r="V3282" s="79"/>
    </row>
    <row r="3283" spans="7:22" x14ac:dyDescent="0.2">
      <c r="G3283" s="79"/>
      <c r="J3283" s="79"/>
      <c r="M3283" s="104"/>
      <c r="P3283" s="79"/>
      <c r="S3283" s="79"/>
      <c r="V3283" s="79"/>
    </row>
    <row r="3284" spans="7:22" x14ac:dyDescent="0.2">
      <c r="G3284" s="79"/>
      <c r="J3284" s="79"/>
      <c r="M3284" s="104"/>
      <c r="P3284" s="79"/>
      <c r="S3284" s="79"/>
      <c r="V3284" s="79"/>
    </row>
    <row r="3285" spans="7:22" x14ac:dyDescent="0.2">
      <c r="G3285" s="79"/>
      <c r="J3285" s="79"/>
      <c r="M3285" s="104"/>
      <c r="P3285" s="79"/>
      <c r="S3285" s="79"/>
      <c r="V3285" s="79"/>
    </row>
    <row r="3286" spans="7:22" x14ac:dyDescent="0.2">
      <c r="G3286" s="79"/>
      <c r="J3286" s="79"/>
      <c r="M3286" s="104"/>
      <c r="P3286" s="79"/>
      <c r="S3286" s="79"/>
      <c r="V3286" s="79"/>
    </row>
    <row r="3287" spans="7:22" x14ac:dyDescent="0.2">
      <c r="G3287" s="79"/>
      <c r="J3287" s="79"/>
      <c r="M3287" s="104"/>
      <c r="P3287" s="79"/>
      <c r="S3287" s="79"/>
      <c r="V3287" s="79"/>
    </row>
    <row r="3288" spans="7:22" x14ac:dyDescent="0.2">
      <c r="G3288" s="79"/>
      <c r="J3288" s="79"/>
      <c r="M3288" s="104"/>
      <c r="P3288" s="79"/>
      <c r="S3288" s="79"/>
      <c r="V3288" s="79"/>
    </row>
    <row r="3289" spans="7:22" x14ac:dyDescent="0.2">
      <c r="G3289" s="79"/>
      <c r="J3289" s="79"/>
      <c r="M3289" s="104"/>
      <c r="P3289" s="79"/>
      <c r="S3289" s="79"/>
      <c r="V3289" s="79"/>
    </row>
    <row r="3290" spans="7:22" x14ac:dyDescent="0.2">
      <c r="G3290" s="79"/>
      <c r="J3290" s="79"/>
      <c r="M3290" s="104"/>
      <c r="P3290" s="79"/>
      <c r="S3290" s="79"/>
      <c r="V3290" s="79"/>
    </row>
    <row r="3291" spans="7:22" x14ac:dyDescent="0.2">
      <c r="G3291" s="79"/>
      <c r="J3291" s="79"/>
      <c r="M3291" s="104"/>
      <c r="P3291" s="79"/>
      <c r="S3291" s="79"/>
      <c r="V3291" s="79"/>
    </row>
    <row r="3292" spans="7:22" x14ac:dyDescent="0.2">
      <c r="G3292" s="79"/>
      <c r="J3292" s="79"/>
      <c r="M3292" s="104"/>
      <c r="P3292" s="79"/>
      <c r="S3292" s="79"/>
      <c r="V3292" s="79"/>
    </row>
    <row r="3293" spans="7:22" x14ac:dyDescent="0.2">
      <c r="G3293" s="79"/>
      <c r="J3293" s="79"/>
      <c r="M3293" s="104"/>
      <c r="P3293" s="79"/>
      <c r="S3293" s="79"/>
      <c r="V3293" s="79"/>
    </row>
    <row r="3294" spans="7:22" x14ac:dyDescent="0.2">
      <c r="G3294" s="79"/>
      <c r="J3294" s="79"/>
      <c r="M3294" s="104"/>
      <c r="P3294" s="79"/>
      <c r="S3294" s="79"/>
      <c r="V3294" s="79"/>
    </row>
    <row r="3295" spans="7:22" x14ac:dyDescent="0.2">
      <c r="G3295" s="79"/>
      <c r="J3295" s="79"/>
      <c r="M3295" s="104"/>
      <c r="P3295" s="79"/>
      <c r="S3295" s="79"/>
      <c r="V3295" s="79"/>
    </row>
    <row r="3296" spans="7:22" x14ac:dyDescent="0.2">
      <c r="G3296" s="79"/>
      <c r="J3296" s="79"/>
      <c r="M3296" s="104"/>
      <c r="P3296" s="79"/>
      <c r="S3296" s="79"/>
      <c r="V3296" s="79"/>
    </row>
    <row r="3297" spans="7:22" x14ac:dyDescent="0.2">
      <c r="G3297" s="79"/>
      <c r="J3297" s="79"/>
      <c r="M3297" s="104"/>
      <c r="P3297" s="79"/>
      <c r="S3297" s="79"/>
      <c r="V3297" s="79"/>
    </row>
    <row r="3298" spans="7:22" x14ac:dyDescent="0.2">
      <c r="G3298" s="79"/>
      <c r="J3298" s="79"/>
      <c r="M3298" s="104"/>
      <c r="P3298" s="79"/>
      <c r="S3298" s="79"/>
      <c r="V3298" s="79"/>
    </row>
    <row r="3299" spans="7:22" x14ac:dyDescent="0.2">
      <c r="G3299" s="79"/>
      <c r="J3299" s="79"/>
      <c r="M3299" s="104"/>
      <c r="P3299" s="79"/>
      <c r="S3299" s="79"/>
      <c r="V3299" s="79"/>
    </row>
    <row r="3300" spans="7:22" x14ac:dyDescent="0.2">
      <c r="G3300" s="79"/>
      <c r="J3300" s="79"/>
      <c r="M3300" s="104"/>
      <c r="P3300" s="79"/>
      <c r="S3300" s="79"/>
      <c r="V3300" s="79"/>
    </row>
    <row r="3301" spans="7:22" x14ac:dyDescent="0.2">
      <c r="G3301" s="79"/>
      <c r="J3301" s="79"/>
      <c r="M3301" s="104"/>
      <c r="P3301" s="79"/>
      <c r="S3301" s="79"/>
      <c r="V3301" s="79"/>
    </row>
    <row r="3302" spans="7:22" x14ac:dyDescent="0.2">
      <c r="G3302" s="79"/>
      <c r="J3302" s="79"/>
      <c r="M3302" s="104"/>
      <c r="P3302" s="79"/>
      <c r="S3302" s="79"/>
      <c r="V3302" s="79"/>
    </row>
    <row r="3303" spans="7:22" x14ac:dyDescent="0.2">
      <c r="G3303" s="79"/>
      <c r="J3303" s="79"/>
      <c r="M3303" s="104"/>
      <c r="P3303" s="79"/>
      <c r="S3303" s="79"/>
      <c r="V3303" s="79"/>
    </row>
    <row r="3304" spans="7:22" x14ac:dyDescent="0.2">
      <c r="G3304" s="79"/>
      <c r="J3304" s="79"/>
      <c r="M3304" s="104"/>
      <c r="P3304" s="79"/>
      <c r="S3304" s="79"/>
      <c r="V3304" s="79"/>
    </row>
    <row r="3305" spans="7:22" x14ac:dyDescent="0.2">
      <c r="G3305" s="79"/>
      <c r="J3305" s="79"/>
      <c r="M3305" s="104"/>
      <c r="P3305" s="79"/>
      <c r="S3305" s="79"/>
      <c r="V3305" s="79"/>
    </row>
    <row r="3306" spans="7:22" x14ac:dyDescent="0.2">
      <c r="G3306" s="79"/>
      <c r="J3306" s="79"/>
      <c r="M3306" s="104"/>
      <c r="P3306" s="79"/>
      <c r="S3306" s="79"/>
      <c r="V3306" s="79"/>
    </row>
    <row r="3307" spans="7:22" x14ac:dyDescent="0.2">
      <c r="G3307" s="79"/>
      <c r="J3307" s="79"/>
      <c r="M3307" s="104"/>
      <c r="P3307" s="79"/>
      <c r="S3307" s="79"/>
      <c r="V3307" s="79"/>
    </row>
    <row r="3308" spans="7:22" x14ac:dyDescent="0.2">
      <c r="G3308" s="79"/>
      <c r="J3308" s="79"/>
      <c r="M3308" s="104"/>
      <c r="P3308" s="79"/>
      <c r="S3308" s="79"/>
      <c r="V3308" s="79"/>
    </row>
    <row r="3309" spans="7:22" x14ac:dyDescent="0.2">
      <c r="G3309" s="79"/>
      <c r="J3309" s="79"/>
      <c r="M3309" s="104"/>
      <c r="P3309" s="79"/>
      <c r="S3309" s="79"/>
      <c r="V3309" s="79"/>
    </row>
    <row r="3310" spans="7:22" x14ac:dyDescent="0.2">
      <c r="G3310" s="79"/>
      <c r="J3310" s="79"/>
      <c r="M3310" s="104"/>
      <c r="P3310" s="79"/>
      <c r="S3310" s="79"/>
      <c r="V3310" s="79"/>
    </row>
    <row r="3311" spans="7:22" x14ac:dyDescent="0.2">
      <c r="G3311" s="79"/>
      <c r="J3311" s="79"/>
      <c r="M3311" s="104"/>
      <c r="P3311" s="79"/>
      <c r="S3311" s="79"/>
      <c r="V3311" s="79"/>
    </row>
    <row r="3312" spans="7:22" x14ac:dyDescent="0.2">
      <c r="G3312" s="79"/>
      <c r="J3312" s="79"/>
      <c r="M3312" s="104"/>
      <c r="P3312" s="79"/>
      <c r="S3312" s="79"/>
      <c r="V3312" s="79"/>
    </row>
    <row r="3313" spans="7:22" x14ac:dyDescent="0.2">
      <c r="G3313" s="79"/>
      <c r="J3313" s="79"/>
      <c r="M3313" s="104"/>
      <c r="P3313" s="79"/>
      <c r="S3313" s="79"/>
      <c r="V3313" s="79"/>
    </row>
    <row r="3314" spans="7:22" x14ac:dyDescent="0.2">
      <c r="G3314" s="79"/>
      <c r="J3314" s="79"/>
      <c r="M3314" s="104"/>
      <c r="P3314" s="79"/>
      <c r="S3314" s="79"/>
      <c r="V3314" s="79"/>
    </row>
    <row r="3315" spans="7:22" x14ac:dyDescent="0.2">
      <c r="G3315" s="79"/>
      <c r="J3315" s="79"/>
      <c r="M3315" s="104"/>
      <c r="P3315" s="79"/>
      <c r="S3315" s="79"/>
      <c r="V3315" s="79"/>
    </row>
    <row r="3316" spans="7:22" x14ac:dyDescent="0.2">
      <c r="G3316" s="79"/>
      <c r="J3316" s="79"/>
      <c r="M3316" s="104"/>
      <c r="P3316" s="79"/>
      <c r="S3316" s="79"/>
      <c r="V3316" s="79"/>
    </row>
    <row r="3317" spans="7:22" x14ac:dyDescent="0.2">
      <c r="G3317" s="79"/>
      <c r="J3317" s="79"/>
      <c r="M3317" s="104"/>
      <c r="P3317" s="79"/>
      <c r="S3317" s="79"/>
      <c r="V3317" s="79"/>
    </row>
    <row r="3318" spans="7:22" x14ac:dyDescent="0.2">
      <c r="G3318" s="79"/>
      <c r="J3318" s="79"/>
      <c r="M3318" s="104"/>
      <c r="P3318" s="79"/>
      <c r="S3318" s="79"/>
      <c r="V3318" s="79"/>
    </row>
    <row r="3319" spans="7:22" x14ac:dyDescent="0.2">
      <c r="G3319" s="79"/>
      <c r="J3319" s="79"/>
      <c r="M3319" s="104"/>
      <c r="P3319" s="79"/>
      <c r="S3319" s="79"/>
      <c r="V3319" s="79"/>
    </row>
    <row r="3320" spans="7:22" x14ac:dyDescent="0.2">
      <c r="G3320" s="79"/>
      <c r="J3320" s="79"/>
      <c r="M3320" s="104"/>
      <c r="P3320" s="79"/>
      <c r="S3320" s="79"/>
      <c r="V3320" s="79"/>
    </row>
    <row r="3321" spans="7:22" x14ac:dyDescent="0.2">
      <c r="G3321" s="79"/>
      <c r="J3321" s="79"/>
      <c r="M3321" s="104"/>
      <c r="P3321" s="79"/>
      <c r="S3321" s="79"/>
      <c r="V3321" s="79"/>
    </row>
    <row r="3322" spans="7:22" x14ac:dyDescent="0.2">
      <c r="G3322" s="79"/>
      <c r="J3322" s="79"/>
      <c r="M3322" s="104"/>
      <c r="P3322" s="79"/>
      <c r="S3322" s="79"/>
      <c r="V3322" s="79"/>
    </row>
    <row r="3323" spans="7:22" x14ac:dyDescent="0.2">
      <c r="G3323" s="79"/>
      <c r="J3323" s="79"/>
      <c r="M3323" s="104"/>
      <c r="P3323" s="79"/>
      <c r="S3323" s="79"/>
      <c r="V3323" s="79"/>
    </row>
    <row r="3324" spans="7:22" x14ac:dyDescent="0.2">
      <c r="G3324" s="79"/>
      <c r="J3324" s="79"/>
      <c r="M3324" s="104"/>
      <c r="P3324" s="79"/>
      <c r="S3324" s="79"/>
      <c r="V3324" s="79"/>
    </row>
    <row r="3325" spans="7:22" x14ac:dyDescent="0.2">
      <c r="G3325" s="79"/>
      <c r="J3325" s="79"/>
      <c r="M3325" s="104"/>
      <c r="P3325" s="79"/>
      <c r="S3325" s="79"/>
      <c r="V3325" s="79"/>
    </row>
    <row r="3326" spans="7:22" x14ac:dyDescent="0.2">
      <c r="G3326" s="79"/>
      <c r="J3326" s="79"/>
      <c r="M3326" s="104"/>
      <c r="P3326" s="79"/>
      <c r="S3326" s="79"/>
      <c r="V3326" s="79"/>
    </row>
    <row r="3327" spans="7:22" x14ac:dyDescent="0.2">
      <c r="G3327" s="79"/>
      <c r="J3327" s="79"/>
      <c r="M3327" s="104"/>
      <c r="P3327" s="79"/>
      <c r="S3327" s="79"/>
      <c r="V3327" s="79"/>
    </row>
    <row r="3328" spans="7:22" x14ac:dyDescent="0.2">
      <c r="G3328" s="79"/>
      <c r="J3328" s="79"/>
      <c r="M3328" s="104"/>
      <c r="P3328" s="79"/>
      <c r="S3328" s="79"/>
      <c r="V3328" s="79"/>
    </row>
    <row r="3329" spans="7:22" x14ac:dyDescent="0.2">
      <c r="G3329" s="79"/>
      <c r="J3329" s="79"/>
      <c r="M3329" s="104"/>
      <c r="P3329" s="79"/>
      <c r="S3329" s="79"/>
      <c r="V3329" s="79"/>
    </row>
    <row r="3330" spans="7:22" x14ac:dyDescent="0.2">
      <c r="G3330" s="79"/>
      <c r="J3330" s="79"/>
      <c r="M3330" s="104"/>
      <c r="P3330" s="79"/>
      <c r="S3330" s="79"/>
      <c r="V3330" s="79"/>
    </row>
    <row r="3331" spans="7:22" x14ac:dyDescent="0.2">
      <c r="G3331" s="79"/>
      <c r="J3331" s="79"/>
      <c r="M3331" s="104"/>
      <c r="P3331" s="79"/>
      <c r="S3331" s="79"/>
      <c r="V3331" s="79"/>
    </row>
    <row r="3332" spans="7:22" x14ac:dyDescent="0.2">
      <c r="G3332" s="79"/>
      <c r="J3332" s="79"/>
      <c r="M3332" s="104"/>
      <c r="P3332" s="79"/>
      <c r="S3332" s="79"/>
      <c r="V3332" s="79"/>
    </row>
    <row r="3333" spans="7:22" x14ac:dyDescent="0.2">
      <c r="G3333" s="79"/>
      <c r="J3333" s="79"/>
      <c r="M3333" s="104"/>
      <c r="P3333" s="79"/>
      <c r="S3333" s="79"/>
      <c r="V3333" s="79"/>
    </row>
    <row r="3334" spans="7:22" x14ac:dyDescent="0.2">
      <c r="G3334" s="79"/>
      <c r="J3334" s="79"/>
      <c r="M3334" s="104"/>
      <c r="P3334" s="79"/>
      <c r="S3334" s="79"/>
      <c r="V3334" s="79"/>
    </row>
    <row r="3335" spans="7:22" x14ac:dyDescent="0.2">
      <c r="G3335" s="79"/>
      <c r="J3335" s="79"/>
      <c r="M3335" s="104"/>
      <c r="P3335" s="79"/>
      <c r="S3335" s="79"/>
      <c r="V3335" s="79"/>
    </row>
    <row r="3336" spans="7:22" x14ac:dyDescent="0.2">
      <c r="G3336" s="79"/>
      <c r="J3336" s="79"/>
      <c r="M3336" s="104"/>
      <c r="P3336" s="79"/>
      <c r="S3336" s="79"/>
      <c r="V3336" s="79"/>
    </row>
    <row r="3337" spans="7:22" x14ac:dyDescent="0.2">
      <c r="G3337" s="79"/>
      <c r="J3337" s="79"/>
      <c r="M3337" s="104"/>
      <c r="P3337" s="79"/>
      <c r="S3337" s="79"/>
      <c r="V3337" s="79"/>
    </row>
    <row r="3338" spans="7:22" x14ac:dyDescent="0.2">
      <c r="G3338" s="79"/>
      <c r="J3338" s="79"/>
      <c r="M3338" s="104"/>
      <c r="P3338" s="79"/>
      <c r="S3338" s="79"/>
      <c r="V3338" s="79"/>
    </row>
    <row r="3339" spans="7:22" x14ac:dyDescent="0.2">
      <c r="G3339" s="79"/>
      <c r="J3339" s="79"/>
      <c r="M3339" s="104"/>
      <c r="P3339" s="79"/>
      <c r="S3339" s="79"/>
      <c r="V3339" s="79"/>
    </row>
    <row r="3340" spans="7:22" x14ac:dyDescent="0.2">
      <c r="G3340" s="79"/>
      <c r="J3340" s="79"/>
      <c r="M3340" s="104"/>
      <c r="P3340" s="79"/>
      <c r="S3340" s="79"/>
      <c r="V3340" s="79"/>
    </row>
    <row r="3341" spans="7:22" x14ac:dyDescent="0.2">
      <c r="G3341" s="79"/>
      <c r="J3341" s="79"/>
      <c r="M3341" s="104"/>
      <c r="P3341" s="79"/>
      <c r="S3341" s="79"/>
      <c r="V3341" s="79"/>
    </row>
    <row r="3342" spans="7:22" x14ac:dyDescent="0.2">
      <c r="G3342" s="79"/>
      <c r="J3342" s="79"/>
      <c r="M3342" s="104"/>
      <c r="P3342" s="79"/>
      <c r="S3342" s="79"/>
      <c r="V3342" s="79"/>
    </row>
    <row r="3343" spans="7:22" x14ac:dyDescent="0.2">
      <c r="G3343" s="79"/>
      <c r="J3343" s="79"/>
      <c r="M3343" s="104"/>
      <c r="P3343" s="79"/>
      <c r="S3343" s="79"/>
      <c r="V3343" s="79"/>
    </row>
    <row r="3344" spans="7:22" x14ac:dyDescent="0.2">
      <c r="G3344" s="79"/>
      <c r="J3344" s="79"/>
      <c r="M3344" s="104"/>
      <c r="P3344" s="79"/>
      <c r="S3344" s="79"/>
      <c r="V3344" s="79"/>
    </row>
    <row r="3345" spans="7:22" x14ac:dyDescent="0.2">
      <c r="G3345" s="79"/>
      <c r="J3345" s="79"/>
      <c r="M3345" s="104"/>
      <c r="P3345" s="79"/>
      <c r="S3345" s="79"/>
      <c r="V3345" s="79"/>
    </row>
    <row r="3346" spans="7:22" x14ac:dyDescent="0.2">
      <c r="G3346" s="79"/>
      <c r="J3346" s="79"/>
      <c r="M3346" s="104"/>
      <c r="P3346" s="79"/>
      <c r="S3346" s="79"/>
      <c r="V3346" s="79"/>
    </row>
    <row r="3347" spans="7:22" x14ac:dyDescent="0.2">
      <c r="G3347" s="79"/>
      <c r="J3347" s="79"/>
      <c r="M3347" s="104"/>
      <c r="P3347" s="79"/>
      <c r="S3347" s="79"/>
      <c r="V3347" s="79"/>
    </row>
    <row r="3348" spans="7:22" x14ac:dyDescent="0.2">
      <c r="G3348" s="79"/>
      <c r="J3348" s="79"/>
      <c r="M3348" s="104"/>
      <c r="P3348" s="79"/>
      <c r="S3348" s="79"/>
      <c r="V3348" s="79"/>
    </row>
    <row r="3349" spans="7:22" x14ac:dyDescent="0.2">
      <c r="G3349" s="79"/>
      <c r="J3349" s="79"/>
      <c r="M3349" s="104"/>
      <c r="P3349" s="79"/>
      <c r="S3349" s="79"/>
      <c r="V3349" s="79"/>
    </row>
    <row r="3350" spans="7:22" x14ac:dyDescent="0.2">
      <c r="G3350" s="79"/>
      <c r="J3350" s="79"/>
      <c r="M3350" s="104"/>
      <c r="P3350" s="79"/>
      <c r="S3350" s="79"/>
      <c r="V3350" s="79"/>
    </row>
    <row r="3351" spans="7:22" x14ac:dyDescent="0.2">
      <c r="G3351" s="79"/>
      <c r="J3351" s="79"/>
      <c r="M3351" s="104"/>
      <c r="P3351" s="79"/>
      <c r="S3351" s="79"/>
      <c r="V3351" s="79"/>
    </row>
    <row r="3352" spans="7:22" x14ac:dyDescent="0.2">
      <c r="G3352" s="79"/>
      <c r="J3352" s="79"/>
      <c r="M3352" s="104"/>
      <c r="P3352" s="79"/>
      <c r="S3352" s="79"/>
      <c r="V3352" s="79"/>
    </row>
    <row r="3353" spans="7:22" x14ac:dyDescent="0.2">
      <c r="G3353" s="79"/>
      <c r="J3353" s="79"/>
      <c r="M3353" s="104"/>
      <c r="P3353" s="79"/>
      <c r="S3353" s="79"/>
      <c r="V3353" s="79"/>
    </row>
    <row r="3354" spans="7:22" x14ac:dyDescent="0.2">
      <c r="G3354" s="79"/>
      <c r="J3354" s="79"/>
      <c r="M3354" s="104"/>
      <c r="P3354" s="79"/>
      <c r="S3354" s="79"/>
      <c r="V3354" s="79"/>
    </row>
    <row r="3355" spans="7:22" x14ac:dyDescent="0.2">
      <c r="G3355" s="79"/>
      <c r="J3355" s="79"/>
      <c r="M3355" s="104"/>
      <c r="P3355" s="79"/>
      <c r="S3355" s="79"/>
      <c r="V3355" s="79"/>
    </row>
    <row r="3356" spans="7:22" x14ac:dyDescent="0.2">
      <c r="G3356" s="79"/>
      <c r="J3356" s="79"/>
      <c r="M3356" s="104"/>
      <c r="P3356" s="79"/>
      <c r="S3356" s="79"/>
      <c r="V3356" s="79"/>
    </row>
    <row r="3357" spans="7:22" x14ac:dyDescent="0.2">
      <c r="G3357" s="79"/>
      <c r="J3357" s="79"/>
      <c r="M3357" s="104"/>
      <c r="P3357" s="79"/>
      <c r="S3357" s="79"/>
      <c r="V3357" s="79"/>
    </row>
    <row r="3358" spans="7:22" x14ac:dyDescent="0.2">
      <c r="G3358" s="79"/>
      <c r="J3358" s="79"/>
      <c r="M3358" s="104"/>
      <c r="P3358" s="79"/>
      <c r="S3358" s="79"/>
      <c r="V3358" s="79"/>
    </row>
    <row r="3359" spans="7:22" x14ac:dyDescent="0.2">
      <c r="G3359" s="79"/>
      <c r="J3359" s="79"/>
      <c r="M3359" s="104"/>
      <c r="P3359" s="79"/>
      <c r="S3359" s="79"/>
      <c r="V3359" s="79"/>
    </row>
    <row r="3360" spans="7:22" x14ac:dyDescent="0.2">
      <c r="G3360" s="79"/>
      <c r="J3360" s="79"/>
      <c r="M3360" s="104"/>
      <c r="P3360" s="79"/>
      <c r="S3360" s="79"/>
      <c r="V3360" s="79"/>
    </row>
    <row r="3361" spans="7:22" x14ac:dyDescent="0.2">
      <c r="G3361" s="79"/>
      <c r="J3361" s="79"/>
      <c r="M3361" s="104"/>
      <c r="P3361" s="79"/>
      <c r="S3361" s="79"/>
      <c r="V3361" s="79"/>
    </row>
    <row r="3362" spans="7:22" x14ac:dyDescent="0.2">
      <c r="G3362" s="79"/>
      <c r="J3362" s="79"/>
      <c r="M3362" s="104"/>
      <c r="P3362" s="79"/>
      <c r="S3362" s="79"/>
      <c r="V3362" s="79"/>
    </row>
    <row r="3363" spans="7:22" x14ac:dyDescent="0.2">
      <c r="G3363" s="79"/>
      <c r="J3363" s="79"/>
      <c r="M3363" s="104"/>
      <c r="P3363" s="79"/>
      <c r="S3363" s="79"/>
      <c r="V3363" s="79"/>
    </row>
    <row r="3364" spans="7:22" x14ac:dyDescent="0.2">
      <c r="G3364" s="79"/>
      <c r="J3364" s="79"/>
      <c r="M3364" s="104"/>
      <c r="P3364" s="79"/>
      <c r="S3364" s="79"/>
      <c r="V3364" s="79"/>
    </row>
    <row r="3365" spans="7:22" x14ac:dyDescent="0.2">
      <c r="G3365" s="79"/>
      <c r="J3365" s="79"/>
      <c r="M3365" s="104"/>
      <c r="P3365" s="79"/>
      <c r="S3365" s="79"/>
      <c r="V3365" s="79"/>
    </row>
    <row r="3366" spans="7:22" x14ac:dyDescent="0.2">
      <c r="G3366" s="79"/>
      <c r="J3366" s="79"/>
      <c r="M3366" s="104"/>
      <c r="P3366" s="79"/>
      <c r="S3366" s="79"/>
      <c r="V3366" s="79"/>
    </row>
    <row r="3367" spans="7:22" x14ac:dyDescent="0.2">
      <c r="G3367" s="79"/>
      <c r="J3367" s="79"/>
      <c r="M3367" s="104"/>
      <c r="P3367" s="79"/>
      <c r="S3367" s="79"/>
      <c r="V3367" s="79"/>
    </row>
    <row r="3368" spans="7:22" x14ac:dyDescent="0.2">
      <c r="G3368" s="79"/>
      <c r="J3368" s="79"/>
      <c r="M3368" s="104"/>
      <c r="P3368" s="79"/>
      <c r="S3368" s="79"/>
      <c r="V3368" s="79"/>
    </row>
    <row r="3369" spans="7:22" x14ac:dyDescent="0.2">
      <c r="G3369" s="79"/>
      <c r="J3369" s="79"/>
      <c r="M3369" s="104"/>
      <c r="P3369" s="79"/>
      <c r="S3369" s="79"/>
      <c r="V3369" s="79"/>
    </row>
    <row r="3370" spans="7:22" x14ac:dyDescent="0.2">
      <c r="G3370" s="79"/>
      <c r="J3370" s="79"/>
      <c r="M3370" s="104"/>
      <c r="P3370" s="79"/>
      <c r="S3370" s="79"/>
      <c r="V3370" s="79"/>
    </row>
    <row r="3371" spans="7:22" x14ac:dyDescent="0.2">
      <c r="G3371" s="79"/>
      <c r="J3371" s="79"/>
      <c r="M3371" s="104"/>
      <c r="P3371" s="79"/>
      <c r="S3371" s="79"/>
      <c r="V3371" s="79"/>
    </row>
    <row r="3372" spans="7:22" x14ac:dyDescent="0.2">
      <c r="G3372" s="79"/>
      <c r="J3372" s="79"/>
      <c r="M3372" s="104"/>
      <c r="P3372" s="79"/>
      <c r="S3372" s="79"/>
      <c r="V3372" s="79"/>
    </row>
    <row r="3373" spans="7:22" x14ac:dyDescent="0.2">
      <c r="G3373" s="79"/>
      <c r="J3373" s="79"/>
      <c r="M3373" s="104"/>
      <c r="P3373" s="79"/>
      <c r="S3373" s="79"/>
      <c r="V3373" s="79"/>
    </row>
    <row r="3374" spans="7:22" x14ac:dyDescent="0.2">
      <c r="G3374" s="79"/>
      <c r="J3374" s="79"/>
      <c r="M3374" s="104"/>
      <c r="P3374" s="79"/>
      <c r="S3374" s="79"/>
      <c r="V3374" s="79"/>
    </row>
    <row r="3375" spans="7:22" x14ac:dyDescent="0.2">
      <c r="G3375" s="79"/>
      <c r="J3375" s="79"/>
      <c r="M3375" s="104"/>
      <c r="P3375" s="79"/>
      <c r="S3375" s="79"/>
      <c r="V3375" s="79"/>
    </row>
    <row r="3376" spans="7:22" x14ac:dyDescent="0.2">
      <c r="G3376" s="79"/>
      <c r="J3376" s="79"/>
      <c r="M3376" s="104"/>
      <c r="P3376" s="79"/>
      <c r="S3376" s="79"/>
      <c r="V3376" s="79"/>
    </row>
    <row r="3377" spans="7:22" x14ac:dyDescent="0.2">
      <c r="G3377" s="79"/>
      <c r="J3377" s="79"/>
      <c r="M3377" s="104"/>
      <c r="P3377" s="79"/>
      <c r="S3377" s="79"/>
      <c r="V3377" s="79"/>
    </row>
    <row r="3378" spans="7:22" x14ac:dyDescent="0.2">
      <c r="G3378" s="79"/>
      <c r="J3378" s="79"/>
      <c r="M3378" s="104"/>
      <c r="P3378" s="79"/>
      <c r="S3378" s="79"/>
      <c r="V3378" s="79"/>
    </row>
    <row r="3379" spans="7:22" x14ac:dyDescent="0.2">
      <c r="G3379" s="79"/>
      <c r="J3379" s="79"/>
      <c r="M3379" s="104"/>
      <c r="P3379" s="79"/>
      <c r="S3379" s="79"/>
      <c r="V3379" s="79"/>
    </row>
    <row r="3380" spans="7:22" x14ac:dyDescent="0.2">
      <c r="G3380" s="79"/>
      <c r="J3380" s="79"/>
      <c r="M3380" s="104"/>
      <c r="P3380" s="79"/>
      <c r="S3380" s="79"/>
      <c r="V3380" s="79"/>
    </row>
    <row r="3381" spans="7:22" x14ac:dyDescent="0.2">
      <c r="G3381" s="79"/>
      <c r="J3381" s="79"/>
      <c r="M3381" s="104"/>
      <c r="P3381" s="79"/>
      <c r="S3381" s="79"/>
      <c r="V3381" s="79"/>
    </row>
    <row r="3382" spans="7:22" x14ac:dyDescent="0.2">
      <c r="G3382" s="79"/>
      <c r="J3382" s="79"/>
      <c r="M3382" s="104"/>
      <c r="P3382" s="79"/>
      <c r="S3382" s="79"/>
      <c r="V3382" s="79"/>
    </row>
    <row r="3383" spans="7:22" x14ac:dyDescent="0.2">
      <c r="G3383" s="79"/>
      <c r="J3383" s="79"/>
      <c r="M3383" s="104"/>
      <c r="P3383" s="79"/>
      <c r="S3383" s="79"/>
      <c r="V3383" s="79"/>
    </row>
    <row r="3384" spans="7:22" x14ac:dyDescent="0.2">
      <c r="G3384" s="79"/>
      <c r="J3384" s="79"/>
      <c r="M3384" s="104"/>
      <c r="P3384" s="79"/>
      <c r="S3384" s="79"/>
      <c r="V3384" s="79"/>
    </row>
    <row r="3385" spans="7:22" x14ac:dyDescent="0.2">
      <c r="G3385" s="79"/>
      <c r="J3385" s="79"/>
      <c r="M3385" s="104"/>
      <c r="P3385" s="79"/>
      <c r="S3385" s="79"/>
      <c r="V3385" s="79"/>
    </row>
    <row r="3386" spans="7:22" x14ac:dyDescent="0.2">
      <c r="G3386" s="79"/>
      <c r="J3386" s="79"/>
      <c r="M3386" s="104"/>
      <c r="P3386" s="79"/>
      <c r="S3386" s="79"/>
      <c r="V3386" s="79"/>
    </row>
    <row r="3387" spans="7:22" x14ac:dyDescent="0.2">
      <c r="G3387" s="79"/>
      <c r="J3387" s="79"/>
      <c r="M3387" s="104"/>
      <c r="P3387" s="79"/>
      <c r="S3387" s="79"/>
      <c r="V3387" s="79"/>
    </row>
    <row r="3388" spans="7:22" x14ac:dyDescent="0.2">
      <c r="G3388" s="79"/>
      <c r="J3388" s="79"/>
      <c r="M3388" s="104"/>
      <c r="P3388" s="79"/>
      <c r="S3388" s="79"/>
      <c r="V3388" s="79"/>
    </row>
    <row r="3389" spans="7:22" x14ac:dyDescent="0.2">
      <c r="G3389" s="79"/>
      <c r="J3389" s="79"/>
      <c r="M3389" s="104"/>
      <c r="P3389" s="79"/>
      <c r="S3389" s="79"/>
      <c r="V3389" s="79"/>
    </row>
    <row r="3390" spans="7:22" x14ac:dyDescent="0.2">
      <c r="G3390" s="79"/>
      <c r="J3390" s="79"/>
      <c r="M3390" s="104"/>
      <c r="P3390" s="79"/>
      <c r="S3390" s="79"/>
      <c r="V3390" s="79"/>
    </row>
    <row r="3391" spans="7:22" x14ac:dyDescent="0.2">
      <c r="G3391" s="79"/>
      <c r="J3391" s="79"/>
      <c r="M3391" s="104"/>
      <c r="P3391" s="79"/>
      <c r="S3391" s="79"/>
      <c r="V3391" s="79"/>
    </row>
    <row r="3392" spans="7:22" x14ac:dyDescent="0.2">
      <c r="G3392" s="79"/>
      <c r="J3392" s="79"/>
      <c r="M3392" s="104"/>
      <c r="P3392" s="79"/>
      <c r="S3392" s="79"/>
      <c r="V3392" s="79"/>
    </row>
    <row r="3393" spans="7:22" x14ac:dyDescent="0.2">
      <c r="G3393" s="79"/>
      <c r="J3393" s="79"/>
      <c r="M3393" s="104"/>
      <c r="P3393" s="79"/>
      <c r="S3393" s="79"/>
      <c r="V3393" s="79"/>
    </row>
    <row r="3394" spans="7:22" x14ac:dyDescent="0.2">
      <c r="G3394" s="79"/>
      <c r="J3394" s="79"/>
      <c r="M3394" s="104"/>
      <c r="P3394" s="79"/>
      <c r="S3394" s="79"/>
      <c r="V3394" s="79"/>
    </row>
    <row r="3395" spans="7:22" x14ac:dyDescent="0.2">
      <c r="G3395" s="79"/>
      <c r="J3395" s="79"/>
      <c r="M3395" s="104"/>
      <c r="P3395" s="79"/>
      <c r="S3395" s="79"/>
      <c r="V3395" s="79"/>
    </row>
    <row r="3396" spans="7:22" x14ac:dyDescent="0.2">
      <c r="G3396" s="79"/>
      <c r="J3396" s="79"/>
      <c r="M3396" s="104"/>
      <c r="P3396" s="79"/>
      <c r="S3396" s="79"/>
      <c r="V3396" s="79"/>
    </row>
    <row r="3397" spans="7:22" x14ac:dyDescent="0.2">
      <c r="G3397" s="79"/>
      <c r="J3397" s="79"/>
      <c r="M3397" s="104"/>
      <c r="P3397" s="79"/>
      <c r="S3397" s="79"/>
      <c r="V3397" s="79"/>
    </row>
    <row r="3398" spans="7:22" x14ac:dyDescent="0.2">
      <c r="G3398" s="79"/>
      <c r="J3398" s="79"/>
      <c r="M3398" s="104"/>
      <c r="P3398" s="79"/>
      <c r="S3398" s="79"/>
      <c r="V3398" s="79"/>
    </row>
    <row r="3399" spans="7:22" x14ac:dyDescent="0.2">
      <c r="G3399" s="79"/>
      <c r="J3399" s="79"/>
      <c r="M3399" s="104"/>
      <c r="P3399" s="79"/>
      <c r="S3399" s="79"/>
      <c r="V3399" s="79"/>
    </row>
    <row r="3400" spans="7:22" x14ac:dyDescent="0.2">
      <c r="G3400" s="79"/>
      <c r="J3400" s="79"/>
      <c r="M3400" s="104"/>
      <c r="P3400" s="79"/>
      <c r="S3400" s="79"/>
      <c r="V3400" s="79"/>
    </row>
    <row r="3401" spans="7:22" x14ac:dyDescent="0.2">
      <c r="G3401" s="79"/>
      <c r="J3401" s="79"/>
      <c r="M3401" s="104"/>
      <c r="P3401" s="79"/>
      <c r="S3401" s="79"/>
      <c r="V3401" s="79"/>
    </row>
    <row r="3402" spans="7:22" x14ac:dyDescent="0.2">
      <c r="G3402" s="79"/>
      <c r="J3402" s="79"/>
      <c r="M3402" s="104"/>
      <c r="P3402" s="79"/>
      <c r="S3402" s="79"/>
      <c r="V3402" s="79"/>
    </row>
    <row r="3403" spans="7:22" x14ac:dyDescent="0.2">
      <c r="G3403" s="79"/>
      <c r="J3403" s="79"/>
      <c r="M3403" s="104"/>
      <c r="P3403" s="79"/>
      <c r="S3403" s="79"/>
      <c r="V3403" s="79"/>
    </row>
    <row r="3404" spans="7:22" x14ac:dyDescent="0.2">
      <c r="G3404" s="79"/>
      <c r="J3404" s="79"/>
      <c r="M3404" s="104"/>
      <c r="P3404" s="79"/>
      <c r="S3404" s="79"/>
      <c r="V3404" s="79"/>
    </row>
    <row r="3405" spans="7:22" x14ac:dyDescent="0.2">
      <c r="G3405" s="79"/>
      <c r="J3405" s="79"/>
      <c r="M3405" s="104"/>
      <c r="P3405" s="79"/>
      <c r="S3405" s="79"/>
      <c r="V3405" s="79"/>
    </row>
    <row r="3406" spans="7:22" x14ac:dyDescent="0.2">
      <c r="G3406" s="79"/>
      <c r="J3406" s="79"/>
      <c r="M3406" s="104"/>
      <c r="P3406" s="79"/>
      <c r="S3406" s="79"/>
      <c r="V3406" s="79"/>
    </row>
    <row r="3407" spans="7:22" x14ac:dyDescent="0.2">
      <c r="G3407" s="79"/>
      <c r="J3407" s="79"/>
      <c r="M3407" s="104"/>
      <c r="P3407" s="79"/>
      <c r="S3407" s="79"/>
      <c r="V3407" s="79"/>
    </row>
    <row r="3408" spans="7:22" x14ac:dyDescent="0.2">
      <c r="G3408" s="79"/>
      <c r="J3408" s="79"/>
      <c r="M3408" s="104"/>
      <c r="P3408" s="79"/>
      <c r="S3408" s="79"/>
      <c r="V3408" s="79"/>
    </row>
    <row r="3409" spans="7:22" x14ac:dyDescent="0.2">
      <c r="G3409" s="79"/>
      <c r="J3409" s="79"/>
      <c r="M3409" s="104"/>
      <c r="P3409" s="79"/>
      <c r="S3409" s="79"/>
      <c r="V3409" s="79"/>
    </row>
    <row r="3410" spans="7:22" x14ac:dyDescent="0.2">
      <c r="G3410" s="79"/>
      <c r="J3410" s="79"/>
      <c r="M3410" s="104"/>
      <c r="P3410" s="79"/>
      <c r="S3410" s="79"/>
      <c r="V3410" s="79"/>
    </row>
    <row r="3411" spans="7:22" x14ac:dyDescent="0.2">
      <c r="G3411" s="79"/>
      <c r="J3411" s="79"/>
      <c r="M3411" s="104"/>
      <c r="P3411" s="79"/>
      <c r="S3411" s="79"/>
      <c r="V3411" s="79"/>
    </row>
    <row r="3412" spans="7:22" x14ac:dyDescent="0.2">
      <c r="G3412" s="79"/>
      <c r="J3412" s="79"/>
      <c r="M3412" s="104"/>
      <c r="P3412" s="79"/>
      <c r="S3412" s="79"/>
      <c r="V3412" s="79"/>
    </row>
    <row r="3413" spans="7:22" x14ac:dyDescent="0.2">
      <c r="G3413" s="79"/>
      <c r="J3413" s="79"/>
      <c r="M3413" s="104"/>
      <c r="P3413" s="79"/>
      <c r="S3413" s="79"/>
      <c r="V3413" s="79"/>
    </row>
    <row r="3414" spans="7:22" x14ac:dyDescent="0.2">
      <c r="G3414" s="79"/>
      <c r="J3414" s="79"/>
      <c r="M3414" s="104"/>
      <c r="P3414" s="79"/>
      <c r="S3414" s="79"/>
      <c r="V3414" s="79"/>
    </row>
    <row r="3415" spans="7:22" x14ac:dyDescent="0.2">
      <c r="G3415" s="79"/>
      <c r="J3415" s="79"/>
      <c r="M3415" s="104"/>
      <c r="P3415" s="79"/>
      <c r="S3415" s="79"/>
      <c r="V3415" s="79"/>
    </row>
    <row r="3416" spans="7:22" x14ac:dyDescent="0.2">
      <c r="G3416" s="79"/>
      <c r="J3416" s="79"/>
      <c r="M3416" s="104"/>
      <c r="P3416" s="79"/>
      <c r="S3416" s="79"/>
      <c r="V3416" s="79"/>
    </row>
    <row r="3417" spans="7:22" x14ac:dyDescent="0.2">
      <c r="G3417" s="79"/>
      <c r="J3417" s="79"/>
      <c r="M3417" s="104"/>
      <c r="P3417" s="79"/>
      <c r="S3417" s="79"/>
      <c r="V3417" s="79"/>
    </row>
    <row r="3418" spans="7:22" x14ac:dyDescent="0.2">
      <c r="G3418" s="79"/>
      <c r="J3418" s="79"/>
      <c r="M3418" s="104"/>
      <c r="P3418" s="79"/>
      <c r="S3418" s="79"/>
      <c r="V3418" s="79"/>
    </row>
    <row r="3419" spans="7:22" x14ac:dyDescent="0.2">
      <c r="G3419" s="79"/>
      <c r="J3419" s="79"/>
      <c r="M3419" s="104"/>
      <c r="P3419" s="79"/>
      <c r="S3419" s="79"/>
      <c r="V3419" s="79"/>
    </row>
    <row r="3420" spans="7:22" x14ac:dyDescent="0.2">
      <c r="G3420" s="79"/>
      <c r="J3420" s="79"/>
      <c r="M3420" s="104"/>
      <c r="P3420" s="79"/>
      <c r="S3420" s="79"/>
      <c r="V3420" s="79"/>
    </row>
    <row r="3421" spans="7:22" x14ac:dyDescent="0.2">
      <c r="G3421" s="79"/>
      <c r="J3421" s="79"/>
      <c r="M3421" s="104"/>
      <c r="P3421" s="79"/>
      <c r="S3421" s="79"/>
      <c r="V3421" s="79"/>
    </row>
    <row r="3422" spans="7:22" x14ac:dyDescent="0.2">
      <c r="G3422" s="79"/>
      <c r="J3422" s="79"/>
      <c r="M3422" s="104"/>
      <c r="P3422" s="79"/>
      <c r="S3422" s="79"/>
      <c r="V3422" s="79"/>
    </row>
    <row r="3423" spans="7:22" x14ac:dyDescent="0.2">
      <c r="G3423" s="79"/>
      <c r="J3423" s="79"/>
      <c r="M3423" s="104"/>
      <c r="P3423" s="79"/>
      <c r="S3423" s="79"/>
      <c r="V3423" s="79"/>
    </row>
    <row r="3424" spans="7:22" x14ac:dyDescent="0.2">
      <c r="G3424" s="79"/>
      <c r="J3424" s="79"/>
      <c r="M3424" s="104"/>
      <c r="P3424" s="79"/>
      <c r="S3424" s="79"/>
      <c r="V3424" s="79"/>
    </row>
    <row r="3425" spans="7:22" x14ac:dyDescent="0.2">
      <c r="G3425" s="79"/>
      <c r="J3425" s="79"/>
      <c r="M3425" s="104"/>
      <c r="P3425" s="79"/>
      <c r="S3425" s="79"/>
      <c r="V3425" s="79"/>
    </row>
    <row r="3426" spans="7:22" x14ac:dyDescent="0.2">
      <c r="G3426" s="79"/>
      <c r="J3426" s="79"/>
      <c r="M3426" s="104"/>
      <c r="P3426" s="79"/>
      <c r="S3426" s="79"/>
      <c r="V3426" s="79"/>
    </row>
    <row r="3427" spans="7:22" x14ac:dyDescent="0.2">
      <c r="G3427" s="79"/>
      <c r="J3427" s="79"/>
      <c r="M3427" s="104"/>
      <c r="P3427" s="79"/>
      <c r="S3427" s="79"/>
      <c r="V3427" s="79"/>
    </row>
    <row r="3428" spans="7:22" x14ac:dyDescent="0.2">
      <c r="G3428" s="79"/>
      <c r="J3428" s="79"/>
      <c r="M3428" s="104"/>
      <c r="P3428" s="79"/>
      <c r="S3428" s="79"/>
      <c r="V3428" s="79"/>
    </row>
    <row r="3429" spans="7:22" x14ac:dyDescent="0.2">
      <c r="G3429" s="79"/>
      <c r="J3429" s="79"/>
      <c r="M3429" s="104"/>
      <c r="P3429" s="79"/>
      <c r="S3429" s="79"/>
      <c r="V3429" s="79"/>
    </row>
    <row r="3430" spans="7:22" x14ac:dyDescent="0.2">
      <c r="G3430" s="79"/>
      <c r="J3430" s="79"/>
      <c r="M3430" s="104"/>
      <c r="P3430" s="79"/>
      <c r="S3430" s="79"/>
      <c r="V3430" s="79"/>
    </row>
    <row r="3431" spans="7:22" x14ac:dyDescent="0.2">
      <c r="G3431" s="79"/>
      <c r="J3431" s="79"/>
      <c r="M3431" s="104"/>
      <c r="P3431" s="79"/>
      <c r="S3431" s="79"/>
      <c r="V3431" s="79"/>
    </row>
    <row r="3432" spans="7:22" x14ac:dyDescent="0.2">
      <c r="G3432" s="79"/>
      <c r="J3432" s="79"/>
      <c r="M3432" s="104"/>
      <c r="P3432" s="79"/>
      <c r="S3432" s="79"/>
      <c r="V3432" s="79"/>
    </row>
    <row r="3433" spans="7:22" x14ac:dyDescent="0.2">
      <c r="G3433" s="79"/>
      <c r="J3433" s="79"/>
      <c r="M3433" s="104"/>
      <c r="P3433" s="79"/>
      <c r="S3433" s="79"/>
      <c r="V3433" s="79"/>
    </row>
    <row r="3434" spans="7:22" x14ac:dyDescent="0.2">
      <c r="G3434" s="79"/>
      <c r="J3434" s="79"/>
      <c r="M3434" s="104"/>
      <c r="P3434" s="79"/>
      <c r="S3434" s="79"/>
      <c r="V3434" s="79"/>
    </row>
    <row r="3435" spans="7:22" x14ac:dyDescent="0.2">
      <c r="G3435" s="79"/>
      <c r="J3435" s="79"/>
      <c r="M3435" s="104"/>
      <c r="P3435" s="79"/>
      <c r="S3435" s="79"/>
      <c r="V3435" s="79"/>
    </row>
    <row r="3436" spans="7:22" x14ac:dyDescent="0.2">
      <c r="G3436" s="79"/>
      <c r="J3436" s="79"/>
      <c r="M3436" s="104"/>
      <c r="P3436" s="79"/>
      <c r="S3436" s="79"/>
      <c r="V3436" s="79"/>
    </row>
    <row r="3437" spans="7:22" x14ac:dyDescent="0.2">
      <c r="G3437" s="79"/>
      <c r="J3437" s="79"/>
      <c r="M3437" s="104"/>
      <c r="P3437" s="79"/>
      <c r="S3437" s="79"/>
      <c r="V3437" s="79"/>
    </row>
    <row r="3438" spans="7:22" x14ac:dyDescent="0.2">
      <c r="G3438" s="79"/>
      <c r="J3438" s="79"/>
      <c r="M3438" s="104"/>
      <c r="P3438" s="79"/>
      <c r="S3438" s="79"/>
      <c r="V3438" s="79"/>
    </row>
    <row r="3439" spans="7:22" x14ac:dyDescent="0.2">
      <c r="G3439" s="79"/>
      <c r="J3439" s="79"/>
      <c r="M3439" s="104"/>
      <c r="P3439" s="79"/>
      <c r="S3439" s="79"/>
      <c r="V3439" s="79"/>
    </row>
    <row r="3440" spans="7:22" x14ac:dyDescent="0.2">
      <c r="G3440" s="79"/>
      <c r="J3440" s="79"/>
      <c r="M3440" s="104"/>
      <c r="P3440" s="79"/>
      <c r="S3440" s="79"/>
      <c r="V3440" s="79"/>
    </row>
    <row r="3441" spans="7:22" x14ac:dyDescent="0.2">
      <c r="G3441" s="79"/>
      <c r="J3441" s="79"/>
      <c r="M3441" s="104"/>
      <c r="P3441" s="79"/>
      <c r="S3441" s="79"/>
      <c r="V3441" s="79"/>
    </row>
    <row r="3442" spans="7:22" x14ac:dyDescent="0.2">
      <c r="G3442" s="79"/>
      <c r="J3442" s="79"/>
      <c r="M3442" s="104"/>
      <c r="P3442" s="79"/>
      <c r="S3442" s="79"/>
      <c r="V3442" s="79"/>
    </row>
    <row r="3443" spans="7:22" x14ac:dyDescent="0.2">
      <c r="G3443" s="79"/>
      <c r="J3443" s="79"/>
      <c r="M3443" s="104"/>
      <c r="P3443" s="79"/>
      <c r="S3443" s="79"/>
      <c r="V3443" s="79"/>
    </row>
    <row r="3444" spans="7:22" x14ac:dyDescent="0.2">
      <c r="G3444" s="79"/>
      <c r="J3444" s="79"/>
      <c r="M3444" s="104"/>
      <c r="P3444" s="79"/>
      <c r="S3444" s="79"/>
      <c r="V3444" s="79"/>
    </row>
    <row r="3445" spans="7:22" x14ac:dyDescent="0.2">
      <c r="G3445" s="79"/>
      <c r="J3445" s="79"/>
      <c r="M3445" s="104"/>
      <c r="P3445" s="79"/>
      <c r="S3445" s="79"/>
      <c r="V3445" s="79"/>
    </row>
    <row r="3446" spans="7:22" x14ac:dyDescent="0.2">
      <c r="G3446" s="79"/>
      <c r="J3446" s="79"/>
      <c r="M3446" s="104"/>
      <c r="P3446" s="79"/>
      <c r="S3446" s="79"/>
      <c r="V3446" s="79"/>
    </row>
    <row r="3447" spans="7:22" x14ac:dyDescent="0.2">
      <c r="G3447" s="79"/>
      <c r="J3447" s="79"/>
      <c r="M3447" s="104"/>
      <c r="P3447" s="79"/>
      <c r="S3447" s="79"/>
      <c r="V3447" s="79"/>
    </row>
    <row r="3448" spans="7:22" x14ac:dyDescent="0.2">
      <c r="G3448" s="79"/>
      <c r="J3448" s="79"/>
      <c r="M3448" s="104"/>
      <c r="P3448" s="79"/>
      <c r="S3448" s="79"/>
      <c r="V3448" s="79"/>
    </row>
    <row r="3449" spans="7:22" x14ac:dyDescent="0.2">
      <c r="G3449" s="79"/>
      <c r="J3449" s="79"/>
      <c r="M3449" s="104"/>
      <c r="P3449" s="79"/>
      <c r="S3449" s="79"/>
      <c r="V3449" s="79"/>
    </row>
    <row r="3450" spans="7:22" x14ac:dyDescent="0.2">
      <c r="G3450" s="79"/>
      <c r="J3450" s="79"/>
      <c r="M3450" s="104"/>
      <c r="P3450" s="79"/>
      <c r="S3450" s="79"/>
      <c r="V3450" s="79"/>
    </row>
    <row r="3451" spans="7:22" x14ac:dyDescent="0.2">
      <c r="G3451" s="79"/>
      <c r="J3451" s="79"/>
      <c r="M3451" s="104"/>
      <c r="P3451" s="79"/>
      <c r="S3451" s="79"/>
      <c r="V3451" s="79"/>
    </row>
    <row r="3452" spans="7:22" x14ac:dyDescent="0.2">
      <c r="G3452" s="79"/>
      <c r="J3452" s="79"/>
      <c r="M3452" s="104"/>
      <c r="P3452" s="79"/>
      <c r="S3452" s="79"/>
      <c r="V3452" s="79"/>
    </row>
    <row r="3453" spans="7:22" x14ac:dyDescent="0.2">
      <c r="G3453" s="79"/>
      <c r="J3453" s="79"/>
      <c r="M3453" s="104"/>
      <c r="P3453" s="79"/>
      <c r="S3453" s="79"/>
      <c r="V3453" s="79"/>
    </row>
    <row r="3454" spans="7:22" x14ac:dyDescent="0.2">
      <c r="G3454" s="79"/>
      <c r="J3454" s="79"/>
      <c r="M3454" s="104"/>
      <c r="P3454" s="79"/>
      <c r="S3454" s="79"/>
      <c r="V3454" s="79"/>
    </row>
    <row r="3455" spans="7:22" x14ac:dyDescent="0.2">
      <c r="G3455" s="79"/>
      <c r="J3455" s="79"/>
      <c r="M3455" s="104"/>
      <c r="P3455" s="79"/>
      <c r="S3455" s="79"/>
      <c r="V3455" s="79"/>
    </row>
    <row r="3456" spans="7:22" x14ac:dyDescent="0.2">
      <c r="G3456" s="79"/>
      <c r="J3456" s="79"/>
      <c r="M3456" s="104"/>
      <c r="P3456" s="79"/>
      <c r="S3456" s="79"/>
      <c r="V3456" s="79"/>
    </row>
    <row r="3457" spans="7:22" x14ac:dyDescent="0.2">
      <c r="G3457" s="79"/>
      <c r="J3457" s="79"/>
      <c r="M3457" s="104"/>
      <c r="P3457" s="79"/>
      <c r="S3457" s="79"/>
      <c r="V3457" s="79"/>
    </row>
    <row r="3458" spans="7:22" x14ac:dyDescent="0.2">
      <c r="G3458" s="79"/>
      <c r="J3458" s="79"/>
      <c r="M3458" s="104"/>
      <c r="P3458" s="79"/>
      <c r="S3458" s="79"/>
      <c r="V3458" s="79"/>
    </row>
    <row r="3459" spans="7:22" x14ac:dyDescent="0.2">
      <c r="G3459" s="79"/>
      <c r="J3459" s="79"/>
      <c r="M3459" s="104"/>
      <c r="P3459" s="79"/>
      <c r="S3459" s="79"/>
      <c r="V3459" s="79"/>
    </row>
    <row r="3460" spans="7:22" x14ac:dyDescent="0.2">
      <c r="G3460" s="79"/>
      <c r="J3460" s="79"/>
      <c r="M3460" s="104"/>
      <c r="P3460" s="79"/>
      <c r="S3460" s="79"/>
      <c r="V3460" s="79"/>
    </row>
    <row r="3461" spans="7:22" x14ac:dyDescent="0.2">
      <c r="G3461" s="79"/>
      <c r="J3461" s="79"/>
      <c r="M3461" s="104"/>
      <c r="P3461" s="79"/>
      <c r="S3461" s="79"/>
      <c r="V3461" s="79"/>
    </row>
    <row r="3462" spans="7:22" x14ac:dyDescent="0.2">
      <c r="G3462" s="79"/>
      <c r="J3462" s="79"/>
      <c r="M3462" s="104"/>
      <c r="P3462" s="79"/>
      <c r="S3462" s="79"/>
      <c r="V3462" s="79"/>
    </row>
    <row r="3463" spans="7:22" x14ac:dyDescent="0.2">
      <c r="G3463" s="79"/>
      <c r="J3463" s="79"/>
      <c r="M3463" s="104"/>
      <c r="P3463" s="79"/>
      <c r="S3463" s="79"/>
      <c r="V3463" s="79"/>
    </row>
    <row r="3464" spans="7:22" x14ac:dyDescent="0.2">
      <c r="G3464" s="79"/>
      <c r="J3464" s="79"/>
      <c r="M3464" s="104"/>
      <c r="P3464" s="79"/>
      <c r="S3464" s="79"/>
      <c r="V3464" s="79"/>
    </row>
    <row r="3465" spans="7:22" x14ac:dyDescent="0.2">
      <c r="G3465" s="79"/>
      <c r="J3465" s="79"/>
      <c r="M3465" s="104"/>
      <c r="P3465" s="79"/>
      <c r="S3465" s="79"/>
      <c r="V3465" s="79"/>
    </row>
    <row r="3466" spans="7:22" x14ac:dyDescent="0.2">
      <c r="G3466" s="79"/>
      <c r="J3466" s="79"/>
      <c r="M3466" s="104"/>
      <c r="P3466" s="79"/>
      <c r="S3466" s="79"/>
      <c r="V3466" s="79"/>
    </row>
    <row r="3467" spans="7:22" x14ac:dyDescent="0.2">
      <c r="G3467" s="79"/>
      <c r="J3467" s="79"/>
      <c r="M3467" s="104"/>
      <c r="P3467" s="79"/>
      <c r="S3467" s="79"/>
      <c r="V3467" s="79"/>
    </row>
    <row r="3468" spans="7:22" x14ac:dyDescent="0.2">
      <c r="G3468" s="79"/>
      <c r="J3468" s="79"/>
      <c r="M3468" s="104"/>
      <c r="P3468" s="79"/>
      <c r="S3468" s="79"/>
      <c r="V3468" s="79"/>
    </row>
    <row r="3469" spans="7:22" x14ac:dyDescent="0.2">
      <c r="G3469" s="79"/>
      <c r="J3469" s="79"/>
      <c r="M3469" s="104"/>
      <c r="P3469" s="79"/>
      <c r="S3469" s="79"/>
      <c r="V3469" s="79"/>
    </row>
    <row r="3470" spans="7:22" x14ac:dyDescent="0.2">
      <c r="G3470" s="79"/>
      <c r="J3470" s="79"/>
      <c r="M3470" s="104"/>
      <c r="P3470" s="79"/>
      <c r="S3470" s="79"/>
      <c r="V3470" s="79"/>
    </row>
    <row r="3471" spans="7:22" x14ac:dyDescent="0.2">
      <c r="G3471" s="79"/>
      <c r="J3471" s="79"/>
      <c r="M3471" s="104"/>
      <c r="P3471" s="79"/>
      <c r="S3471" s="79"/>
      <c r="V3471" s="79"/>
    </row>
    <row r="3472" spans="7:22" x14ac:dyDescent="0.2">
      <c r="G3472" s="79"/>
      <c r="J3472" s="79"/>
      <c r="M3472" s="104"/>
      <c r="P3472" s="79"/>
      <c r="S3472" s="79"/>
      <c r="V3472" s="79"/>
    </row>
    <row r="3473" spans="7:22" x14ac:dyDescent="0.2">
      <c r="G3473" s="79"/>
      <c r="J3473" s="79"/>
      <c r="M3473" s="104"/>
      <c r="P3473" s="79"/>
      <c r="S3473" s="79"/>
      <c r="V3473" s="79"/>
    </row>
    <row r="3474" spans="7:22" x14ac:dyDescent="0.2">
      <c r="G3474" s="79"/>
      <c r="J3474" s="79"/>
      <c r="M3474" s="104"/>
      <c r="P3474" s="79"/>
      <c r="S3474" s="79"/>
      <c r="V3474" s="79"/>
    </row>
    <row r="3475" spans="7:22" x14ac:dyDescent="0.2">
      <c r="G3475" s="79"/>
      <c r="J3475" s="79"/>
      <c r="M3475" s="104"/>
      <c r="P3475" s="79"/>
      <c r="S3475" s="79"/>
      <c r="V3475" s="79"/>
    </row>
    <row r="3476" spans="7:22" x14ac:dyDescent="0.2">
      <c r="G3476" s="79"/>
      <c r="J3476" s="79"/>
      <c r="M3476" s="104"/>
      <c r="P3476" s="79"/>
      <c r="S3476" s="79"/>
      <c r="V3476" s="79"/>
    </row>
    <row r="3477" spans="7:22" x14ac:dyDescent="0.2">
      <c r="G3477" s="79"/>
      <c r="J3477" s="79"/>
      <c r="M3477" s="104"/>
      <c r="P3477" s="79"/>
      <c r="S3477" s="79"/>
      <c r="V3477" s="79"/>
    </row>
    <row r="3478" spans="7:22" x14ac:dyDescent="0.2">
      <c r="G3478" s="79"/>
      <c r="J3478" s="79"/>
      <c r="M3478" s="104"/>
      <c r="P3478" s="79"/>
      <c r="S3478" s="79"/>
      <c r="V3478" s="79"/>
    </row>
    <row r="3479" spans="7:22" x14ac:dyDescent="0.2">
      <c r="G3479" s="79"/>
      <c r="J3479" s="79"/>
      <c r="M3479" s="104"/>
      <c r="P3479" s="79"/>
      <c r="S3479" s="79"/>
      <c r="V3479" s="79"/>
    </row>
    <row r="3480" spans="7:22" x14ac:dyDescent="0.2">
      <c r="G3480" s="79"/>
      <c r="J3480" s="79"/>
      <c r="M3480" s="104"/>
      <c r="P3480" s="79"/>
      <c r="S3480" s="79"/>
      <c r="V3480" s="79"/>
    </row>
    <row r="3481" spans="7:22" x14ac:dyDescent="0.2">
      <c r="G3481" s="79"/>
      <c r="J3481" s="79"/>
      <c r="M3481" s="104"/>
      <c r="P3481" s="79"/>
      <c r="S3481" s="79"/>
      <c r="V3481" s="79"/>
    </row>
    <row r="3482" spans="7:22" x14ac:dyDescent="0.2">
      <c r="G3482" s="79"/>
      <c r="J3482" s="79"/>
      <c r="M3482" s="104"/>
      <c r="P3482" s="79"/>
      <c r="S3482" s="79"/>
      <c r="V3482" s="79"/>
    </row>
    <row r="3483" spans="7:22" x14ac:dyDescent="0.2">
      <c r="G3483" s="79"/>
      <c r="J3483" s="79"/>
      <c r="M3483" s="104"/>
      <c r="P3483" s="79"/>
      <c r="S3483" s="79"/>
      <c r="V3483" s="79"/>
    </row>
    <row r="3484" spans="7:22" x14ac:dyDescent="0.2">
      <c r="G3484" s="79"/>
      <c r="J3484" s="79"/>
      <c r="M3484" s="104"/>
      <c r="P3484" s="79"/>
      <c r="S3484" s="79"/>
      <c r="V3484" s="79"/>
    </row>
    <row r="3485" spans="7:22" x14ac:dyDescent="0.2">
      <c r="G3485" s="79"/>
      <c r="J3485" s="79"/>
      <c r="M3485" s="104"/>
      <c r="P3485" s="79"/>
      <c r="S3485" s="79"/>
      <c r="V3485" s="79"/>
    </row>
    <row r="3486" spans="7:22" x14ac:dyDescent="0.2">
      <c r="G3486" s="79"/>
      <c r="J3486" s="79"/>
      <c r="M3486" s="104"/>
      <c r="P3486" s="79"/>
      <c r="S3486" s="79"/>
      <c r="V3486" s="79"/>
    </row>
    <row r="3487" spans="7:22" x14ac:dyDescent="0.2">
      <c r="G3487" s="79"/>
      <c r="J3487" s="79"/>
      <c r="M3487" s="104"/>
      <c r="P3487" s="79"/>
      <c r="S3487" s="79"/>
      <c r="V3487" s="79"/>
    </row>
    <row r="3488" spans="7:22" x14ac:dyDescent="0.2">
      <c r="G3488" s="79"/>
      <c r="J3488" s="79"/>
      <c r="M3488" s="104"/>
      <c r="P3488" s="79"/>
      <c r="S3488" s="79"/>
      <c r="V3488" s="79"/>
    </row>
    <row r="3489" spans="7:22" x14ac:dyDescent="0.2">
      <c r="G3489" s="79"/>
      <c r="J3489" s="79"/>
      <c r="M3489" s="104"/>
      <c r="P3489" s="79"/>
      <c r="S3489" s="79"/>
      <c r="V3489" s="79"/>
    </row>
    <row r="3490" spans="7:22" x14ac:dyDescent="0.2">
      <c r="G3490" s="79"/>
      <c r="J3490" s="79"/>
      <c r="M3490" s="104"/>
      <c r="P3490" s="79"/>
      <c r="S3490" s="79"/>
      <c r="V3490" s="79"/>
    </row>
    <row r="3491" spans="7:22" x14ac:dyDescent="0.2">
      <c r="G3491" s="79"/>
      <c r="J3491" s="79"/>
      <c r="M3491" s="104"/>
      <c r="P3491" s="79"/>
      <c r="S3491" s="79"/>
      <c r="V3491" s="79"/>
    </row>
    <row r="3492" spans="7:22" x14ac:dyDescent="0.2">
      <c r="G3492" s="79"/>
      <c r="J3492" s="79"/>
      <c r="M3492" s="104"/>
      <c r="P3492" s="79"/>
      <c r="S3492" s="79"/>
      <c r="V3492" s="79"/>
    </row>
    <row r="3493" spans="7:22" x14ac:dyDescent="0.2">
      <c r="G3493" s="79"/>
      <c r="J3493" s="79"/>
      <c r="M3493" s="104"/>
      <c r="P3493" s="79"/>
      <c r="S3493" s="79"/>
      <c r="V3493" s="79"/>
    </row>
    <row r="3494" spans="7:22" x14ac:dyDescent="0.2">
      <c r="G3494" s="79"/>
      <c r="J3494" s="79"/>
      <c r="M3494" s="104"/>
      <c r="P3494" s="79"/>
      <c r="S3494" s="79"/>
      <c r="V3494" s="79"/>
    </row>
    <row r="3495" spans="7:22" x14ac:dyDescent="0.2">
      <c r="G3495" s="79"/>
      <c r="J3495" s="79"/>
      <c r="M3495" s="104"/>
      <c r="P3495" s="79"/>
      <c r="S3495" s="79"/>
      <c r="V3495" s="79"/>
    </row>
    <row r="3496" spans="7:22" x14ac:dyDescent="0.2">
      <c r="G3496" s="79"/>
      <c r="J3496" s="79"/>
      <c r="M3496" s="104"/>
      <c r="P3496" s="79"/>
      <c r="S3496" s="79"/>
      <c r="V3496" s="79"/>
    </row>
    <row r="3497" spans="7:22" x14ac:dyDescent="0.2">
      <c r="G3497" s="79"/>
      <c r="J3497" s="79"/>
      <c r="M3497" s="104"/>
      <c r="P3497" s="79"/>
      <c r="S3497" s="79"/>
      <c r="V3497" s="79"/>
    </row>
    <row r="3498" spans="7:22" x14ac:dyDescent="0.2">
      <c r="G3498" s="79"/>
      <c r="J3498" s="79"/>
      <c r="M3498" s="104"/>
      <c r="P3498" s="79"/>
      <c r="S3498" s="79"/>
      <c r="V3498" s="79"/>
    </row>
    <row r="3499" spans="7:22" x14ac:dyDescent="0.2">
      <c r="G3499" s="79"/>
      <c r="J3499" s="79"/>
      <c r="M3499" s="104"/>
      <c r="P3499" s="79"/>
      <c r="S3499" s="79"/>
      <c r="V3499" s="79"/>
    </row>
    <row r="3500" spans="7:22" x14ac:dyDescent="0.2">
      <c r="G3500" s="79"/>
      <c r="J3500" s="79"/>
      <c r="M3500" s="104"/>
      <c r="P3500" s="79"/>
      <c r="S3500" s="79"/>
      <c r="V3500" s="79"/>
    </row>
    <row r="3501" spans="7:22" x14ac:dyDescent="0.2">
      <c r="G3501" s="79"/>
      <c r="J3501" s="79"/>
      <c r="M3501" s="104"/>
      <c r="P3501" s="79"/>
      <c r="S3501" s="79"/>
      <c r="V3501" s="79"/>
    </row>
    <row r="3502" spans="7:22" x14ac:dyDescent="0.2">
      <c r="G3502" s="79"/>
      <c r="J3502" s="79"/>
      <c r="M3502" s="104"/>
      <c r="P3502" s="79"/>
      <c r="S3502" s="79"/>
      <c r="V3502" s="79"/>
    </row>
    <row r="3503" spans="7:22" x14ac:dyDescent="0.2">
      <c r="G3503" s="79"/>
      <c r="J3503" s="79"/>
      <c r="M3503" s="104"/>
      <c r="P3503" s="79"/>
      <c r="S3503" s="79"/>
      <c r="V3503" s="79"/>
    </row>
    <row r="3504" spans="7:22" x14ac:dyDescent="0.2">
      <c r="G3504" s="79"/>
      <c r="J3504" s="79"/>
      <c r="M3504" s="104"/>
      <c r="P3504" s="79"/>
      <c r="S3504" s="79"/>
      <c r="V3504" s="79"/>
    </row>
    <row r="3505" spans="7:22" x14ac:dyDescent="0.2">
      <c r="G3505" s="79"/>
      <c r="J3505" s="79"/>
      <c r="M3505" s="104"/>
      <c r="P3505" s="79"/>
      <c r="S3505" s="79"/>
      <c r="V3505" s="79"/>
    </row>
    <row r="3506" spans="7:22" x14ac:dyDescent="0.2">
      <c r="G3506" s="79"/>
      <c r="J3506" s="79"/>
      <c r="M3506" s="104"/>
      <c r="P3506" s="79"/>
      <c r="S3506" s="79"/>
      <c r="V3506" s="79"/>
    </row>
    <row r="3507" spans="7:22" x14ac:dyDescent="0.2">
      <c r="G3507" s="79"/>
      <c r="J3507" s="79"/>
      <c r="M3507" s="104"/>
      <c r="P3507" s="79"/>
      <c r="S3507" s="79"/>
      <c r="V3507" s="79"/>
    </row>
    <row r="3508" spans="7:22" x14ac:dyDescent="0.2">
      <c r="G3508" s="79"/>
      <c r="J3508" s="79"/>
      <c r="M3508" s="104"/>
      <c r="P3508" s="79"/>
      <c r="S3508" s="79"/>
      <c r="V3508" s="79"/>
    </row>
    <row r="3509" spans="7:22" x14ac:dyDescent="0.2">
      <c r="G3509" s="79"/>
      <c r="J3509" s="79"/>
      <c r="M3509" s="104"/>
      <c r="P3509" s="79"/>
      <c r="S3509" s="79"/>
      <c r="V3509" s="79"/>
    </row>
    <row r="3510" spans="7:22" x14ac:dyDescent="0.2">
      <c r="G3510" s="79"/>
      <c r="J3510" s="79"/>
      <c r="M3510" s="104"/>
      <c r="P3510" s="79"/>
      <c r="S3510" s="79"/>
      <c r="V3510" s="79"/>
    </row>
    <row r="3511" spans="7:22" x14ac:dyDescent="0.2">
      <c r="G3511" s="79"/>
      <c r="J3511" s="79"/>
      <c r="M3511" s="104"/>
      <c r="P3511" s="79"/>
      <c r="S3511" s="79"/>
      <c r="V3511" s="79"/>
    </row>
    <row r="3512" spans="7:22" x14ac:dyDescent="0.2">
      <c r="G3512" s="79"/>
      <c r="J3512" s="79"/>
      <c r="M3512" s="104"/>
      <c r="P3512" s="79"/>
      <c r="S3512" s="79"/>
      <c r="V3512" s="79"/>
    </row>
    <row r="3513" spans="7:22" x14ac:dyDescent="0.2">
      <c r="G3513" s="79"/>
      <c r="J3513" s="79"/>
      <c r="M3513" s="104"/>
      <c r="P3513" s="79"/>
      <c r="S3513" s="79"/>
      <c r="V3513" s="79"/>
    </row>
    <row r="3514" spans="7:22" x14ac:dyDescent="0.2">
      <c r="G3514" s="79"/>
      <c r="J3514" s="79"/>
      <c r="M3514" s="104"/>
      <c r="P3514" s="79"/>
      <c r="S3514" s="79"/>
      <c r="V3514" s="79"/>
    </row>
    <row r="3515" spans="7:22" x14ac:dyDescent="0.2">
      <c r="G3515" s="79"/>
      <c r="J3515" s="79"/>
      <c r="M3515" s="104"/>
      <c r="P3515" s="79"/>
      <c r="S3515" s="79"/>
      <c r="V3515" s="79"/>
    </row>
    <row r="3516" spans="7:22" x14ac:dyDescent="0.2">
      <c r="G3516" s="79"/>
      <c r="J3516" s="79"/>
      <c r="M3516" s="104"/>
      <c r="P3516" s="79"/>
      <c r="S3516" s="79"/>
      <c r="V3516" s="79"/>
    </row>
    <row r="3517" spans="7:22" x14ac:dyDescent="0.2">
      <c r="G3517" s="79"/>
      <c r="J3517" s="79"/>
      <c r="M3517" s="104"/>
      <c r="P3517" s="79"/>
      <c r="S3517" s="79"/>
      <c r="V3517" s="79"/>
    </row>
    <row r="3518" spans="7:22" x14ac:dyDescent="0.2">
      <c r="G3518" s="79"/>
      <c r="J3518" s="79"/>
      <c r="M3518" s="104"/>
      <c r="P3518" s="79"/>
      <c r="S3518" s="79"/>
      <c r="V3518" s="79"/>
    </row>
    <row r="3519" spans="7:22" x14ac:dyDescent="0.2">
      <c r="G3519" s="79"/>
      <c r="J3519" s="79"/>
      <c r="M3519" s="104"/>
      <c r="P3519" s="79"/>
      <c r="S3519" s="79"/>
      <c r="V3519" s="79"/>
    </row>
    <row r="3520" spans="7:22" x14ac:dyDescent="0.2">
      <c r="G3520" s="79"/>
      <c r="J3520" s="79"/>
      <c r="M3520" s="104"/>
      <c r="P3520" s="79"/>
      <c r="S3520" s="79"/>
      <c r="V3520" s="79"/>
    </row>
    <row r="3521" spans="7:22" x14ac:dyDescent="0.2">
      <c r="G3521" s="79"/>
      <c r="J3521" s="79"/>
      <c r="M3521" s="104"/>
      <c r="P3521" s="79"/>
      <c r="S3521" s="79"/>
      <c r="V3521" s="79"/>
    </row>
    <row r="3522" spans="7:22" x14ac:dyDescent="0.2">
      <c r="G3522" s="79"/>
      <c r="J3522" s="79"/>
      <c r="M3522" s="104"/>
      <c r="P3522" s="79"/>
      <c r="S3522" s="79"/>
      <c r="V3522" s="79"/>
    </row>
    <row r="3523" spans="7:22" x14ac:dyDescent="0.2">
      <c r="G3523" s="79"/>
      <c r="J3523" s="79"/>
      <c r="M3523" s="104"/>
      <c r="P3523" s="79"/>
      <c r="S3523" s="79"/>
      <c r="V3523" s="79"/>
    </row>
    <row r="3524" spans="7:22" x14ac:dyDescent="0.2">
      <c r="G3524" s="79"/>
      <c r="J3524" s="79"/>
      <c r="M3524" s="104"/>
      <c r="P3524" s="79"/>
      <c r="S3524" s="79"/>
      <c r="V3524" s="79"/>
    </row>
    <row r="3525" spans="7:22" x14ac:dyDescent="0.2">
      <c r="G3525" s="79"/>
      <c r="J3525" s="79"/>
      <c r="M3525" s="104"/>
      <c r="P3525" s="79"/>
      <c r="S3525" s="79"/>
      <c r="V3525" s="79"/>
    </row>
    <row r="3526" spans="7:22" x14ac:dyDescent="0.2">
      <c r="G3526" s="79"/>
      <c r="J3526" s="79"/>
      <c r="M3526" s="104"/>
      <c r="P3526" s="79"/>
      <c r="S3526" s="79"/>
      <c r="V3526" s="79"/>
    </row>
    <row r="3527" spans="7:22" x14ac:dyDescent="0.2">
      <c r="G3527" s="79"/>
      <c r="J3527" s="79"/>
      <c r="M3527" s="104"/>
      <c r="P3527" s="79"/>
      <c r="S3527" s="79"/>
      <c r="V3527" s="79"/>
    </row>
    <row r="3528" spans="7:22" x14ac:dyDescent="0.2">
      <c r="G3528" s="79"/>
      <c r="J3528" s="79"/>
      <c r="M3528" s="104"/>
      <c r="P3528" s="79"/>
      <c r="S3528" s="79"/>
      <c r="V3528" s="79"/>
    </row>
    <row r="3529" spans="7:22" x14ac:dyDescent="0.2">
      <c r="G3529" s="79"/>
      <c r="J3529" s="79"/>
      <c r="M3529" s="104"/>
      <c r="P3529" s="79"/>
      <c r="S3529" s="79"/>
      <c r="V3529" s="79"/>
    </row>
    <row r="3530" spans="7:22" x14ac:dyDescent="0.2">
      <c r="G3530" s="79"/>
      <c r="J3530" s="79"/>
      <c r="M3530" s="104"/>
      <c r="P3530" s="79"/>
      <c r="S3530" s="79"/>
      <c r="V3530" s="79"/>
    </row>
    <row r="3531" spans="7:22" x14ac:dyDescent="0.2">
      <c r="G3531" s="79"/>
      <c r="J3531" s="79"/>
      <c r="M3531" s="104"/>
      <c r="P3531" s="79"/>
      <c r="S3531" s="79"/>
      <c r="V3531" s="79"/>
    </row>
    <row r="3532" spans="7:22" x14ac:dyDescent="0.2">
      <c r="G3532" s="79"/>
      <c r="J3532" s="79"/>
      <c r="M3532" s="104"/>
      <c r="P3532" s="79"/>
      <c r="S3532" s="79"/>
      <c r="V3532" s="79"/>
    </row>
    <row r="3533" spans="7:22" x14ac:dyDescent="0.2">
      <c r="G3533" s="79"/>
      <c r="J3533" s="79"/>
      <c r="M3533" s="104"/>
      <c r="P3533" s="79"/>
      <c r="S3533" s="79"/>
      <c r="V3533" s="79"/>
    </row>
    <row r="3534" spans="7:22" x14ac:dyDescent="0.2">
      <c r="G3534" s="79"/>
      <c r="J3534" s="79"/>
      <c r="M3534" s="104"/>
      <c r="P3534" s="79"/>
      <c r="S3534" s="79"/>
      <c r="V3534" s="79"/>
    </row>
    <row r="3535" spans="7:22" x14ac:dyDescent="0.2">
      <c r="G3535" s="79"/>
      <c r="J3535" s="79"/>
      <c r="M3535" s="104"/>
      <c r="P3535" s="79"/>
      <c r="S3535" s="79"/>
      <c r="V3535" s="79"/>
    </row>
    <row r="3536" spans="7:22" x14ac:dyDescent="0.2">
      <c r="G3536" s="79"/>
      <c r="J3536" s="79"/>
      <c r="M3536" s="104"/>
      <c r="P3536" s="79"/>
      <c r="S3536" s="79"/>
      <c r="V3536" s="79"/>
    </row>
    <row r="3537" spans="7:22" x14ac:dyDescent="0.2">
      <c r="G3537" s="79"/>
      <c r="J3537" s="79"/>
      <c r="M3537" s="104"/>
      <c r="P3537" s="79"/>
      <c r="S3537" s="79"/>
      <c r="V3537" s="79"/>
    </row>
    <row r="3538" spans="7:22" x14ac:dyDescent="0.2">
      <c r="G3538" s="79"/>
      <c r="J3538" s="79"/>
      <c r="M3538" s="104"/>
      <c r="P3538" s="79"/>
      <c r="S3538" s="79"/>
      <c r="V3538" s="79"/>
    </row>
    <row r="3539" spans="7:22" x14ac:dyDescent="0.2">
      <c r="G3539" s="79"/>
      <c r="J3539" s="79"/>
      <c r="M3539" s="104"/>
      <c r="P3539" s="79"/>
      <c r="S3539" s="79"/>
      <c r="V3539" s="79"/>
    </row>
    <row r="3540" spans="7:22" x14ac:dyDescent="0.2">
      <c r="G3540" s="79"/>
      <c r="J3540" s="79"/>
      <c r="M3540" s="104"/>
      <c r="P3540" s="79"/>
      <c r="S3540" s="79"/>
      <c r="V3540" s="79"/>
    </row>
    <row r="3541" spans="7:22" x14ac:dyDescent="0.2">
      <c r="G3541" s="79"/>
      <c r="J3541" s="79"/>
      <c r="M3541" s="104"/>
      <c r="P3541" s="79"/>
      <c r="S3541" s="79"/>
      <c r="V3541" s="79"/>
    </row>
    <row r="3542" spans="7:22" x14ac:dyDescent="0.2">
      <c r="G3542" s="79"/>
      <c r="J3542" s="79"/>
      <c r="M3542" s="104"/>
      <c r="P3542" s="79"/>
      <c r="S3542" s="79"/>
      <c r="V3542" s="79"/>
    </row>
    <row r="3543" spans="7:22" x14ac:dyDescent="0.2">
      <c r="G3543" s="79"/>
      <c r="J3543" s="79"/>
      <c r="M3543" s="104"/>
      <c r="P3543" s="79"/>
      <c r="S3543" s="79"/>
      <c r="V3543" s="79"/>
    </row>
    <row r="3544" spans="7:22" x14ac:dyDescent="0.2">
      <c r="G3544" s="79"/>
      <c r="J3544" s="79"/>
      <c r="M3544" s="104"/>
      <c r="P3544" s="79"/>
      <c r="S3544" s="79"/>
      <c r="V3544" s="79"/>
    </row>
    <row r="3545" spans="7:22" x14ac:dyDescent="0.2">
      <c r="G3545" s="79"/>
      <c r="J3545" s="79"/>
      <c r="M3545" s="104"/>
      <c r="P3545" s="79"/>
      <c r="S3545" s="79"/>
      <c r="V3545" s="79"/>
    </row>
    <row r="3546" spans="7:22" x14ac:dyDescent="0.2">
      <c r="G3546" s="79"/>
      <c r="J3546" s="79"/>
      <c r="M3546" s="104"/>
      <c r="P3546" s="79"/>
      <c r="S3546" s="79"/>
      <c r="V3546" s="79"/>
    </row>
    <row r="3547" spans="7:22" x14ac:dyDescent="0.2">
      <c r="G3547" s="79"/>
      <c r="J3547" s="79"/>
      <c r="M3547" s="104"/>
      <c r="P3547" s="79"/>
      <c r="S3547" s="79"/>
      <c r="V3547" s="79"/>
    </row>
    <row r="3548" spans="7:22" x14ac:dyDescent="0.2">
      <c r="G3548" s="79"/>
      <c r="J3548" s="79"/>
      <c r="M3548" s="104"/>
      <c r="P3548" s="79"/>
      <c r="S3548" s="79"/>
      <c r="V3548" s="79"/>
    </row>
    <row r="3549" spans="7:22" x14ac:dyDescent="0.2">
      <c r="G3549" s="79"/>
      <c r="J3549" s="79"/>
      <c r="M3549" s="104"/>
      <c r="P3549" s="79"/>
      <c r="S3549" s="79"/>
      <c r="V3549" s="79"/>
    </row>
    <row r="3550" spans="7:22" x14ac:dyDescent="0.2">
      <c r="G3550" s="79"/>
      <c r="J3550" s="79"/>
      <c r="M3550" s="104"/>
      <c r="P3550" s="79"/>
      <c r="S3550" s="79"/>
      <c r="V3550" s="79"/>
    </row>
    <row r="3551" spans="7:22" x14ac:dyDescent="0.2">
      <c r="G3551" s="79"/>
      <c r="J3551" s="79"/>
      <c r="M3551" s="104"/>
      <c r="P3551" s="79"/>
      <c r="S3551" s="79"/>
      <c r="V3551" s="79"/>
    </row>
    <row r="3552" spans="7:22" x14ac:dyDescent="0.2">
      <c r="G3552" s="79"/>
      <c r="J3552" s="79"/>
      <c r="M3552" s="104"/>
      <c r="P3552" s="79"/>
      <c r="S3552" s="79"/>
      <c r="V3552" s="79"/>
    </row>
    <row r="3553" spans="7:22" x14ac:dyDescent="0.2">
      <c r="G3553" s="79"/>
      <c r="J3553" s="79"/>
      <c r="M3553" s="104"/>
      <c r="P3553" s="79"/>
      <c r="S3553" s="79"/>
      <c r="V3553" s="79"/>
    </row>
    <row r="3554" spans="7:22" x14ac:dyDescent="0.2">
      <c r="G3554" s="79"/>
      <c r="J3554" s="79"/>
      <c r="M3554" s="104"/>
      <c r="P3554" s="79"/>
      <c r="S3554" s="79"/>
      <c r="V3554" s="79"/>
    </row>
    <row r="3555" spans="7:22" x14ac:dyDescent="0.2">
      <c r="G3555" s="79"/>
      <c r="J3555" s="79"/>
      <c r="M3555" s="104"/>
      <c r="P3555" s="79"/>
      <c r="S3555" s="79"/>
      <c r="V3555" s="79"/>
    </row>
    <row r="3556" spans="7:22" x14ac:dyDescent="0.2">
      <c r="G3556" s="79"/>
      <c r="J3556" s="79"/>
      <c r="M3556" s="104"/>
      <c r="P3556" s="79"/>
      <c r="S3556" s="79"/>
      <c r="V3556" s="79"/>
    </row>
    <row r="3557" spans="7:22" x14ac:dyDescent="0.2">
      <c r="G3557" s="79"/>
      <c r="J3557" s="79"/>
      <c r="M3557" s="104"/>
      <c r="P3557" s="79"/>
      <c r="S3557" s="79"/>
      <c r="V3557" s="79"/>
    </row>
    <row r="3558" spans="7:22" x14ac:dyDescent="0.2">
      <c r="G3558" s="79"/>
      <c r="J3558" s="79"/>
      <c r="M3558" s="104"/>
      <c r="P3558" s="79"/>
      <c r="S3558" s="79"/>
      <c r="V3558" s="79"/>
    </row>
    <row r="3559" spans="7:22" x14ac:dyDescent="0.2">
      <c r="G3559" s="79"/>
      <c r="J3559" s="79"/>
      <c r="M3559" s="104"/>
      <c r="P3559" s="79"/>
      <c r="S3559" s="79"/>
      <c r="V3559" s="79"/>
    </row>
    <row r="3560" spans="7:22" x14ac:dyDescent="0.2">
      <c r="G3560" s="79"/>
      <c r="J3560" s="79"/>
      <c r="M3560" s="104"/>
      <c r="P3560" s="79"/>
      <c r="S3560" s="79"/>
      <c r="V3560" s="79"/>
    </row>
    <row r="3561" spans="7:22" x14ac:dyDescent="0.2">
      <c r="G3561" s="79"/>
      <c r="J3561" s="79"/>
      <c r="M3561" s="104"/>
      <c r="P3561" s="79"/>
      <c r="S3561" s="79"/>
      <c r="V3561" s="79"/>
    </row>
    <row r="3562" spans="7:22" x14ac:dyDescent="0.2">
      <c r="G3562" s="79"/>
      <c r="J3562" s="79"/>
      <c r="M3562" s="104"/>
      <c r="P3562" s="79"/>
      <c r="S3562" s="79"/>
      <c r="V3562" s="79"/>
    </row>
    <row r="3563" spans="7:22" x14ac:dyDescent="0.2">
      <c r="G3563" s="79"/>
      <c r="J3563" s="79"/>
      <c r="M3563" s="104"/>
      <c r="P3563" s="79"/>
      <c r="S3563" s="79"/>
      <c r="V3563" s="79"/>
    </row>
    <row r="3564" spans="7:22" x14ac:dyDescent="0.2">
      <c r="G3564" s="79"/>
      <c r="J3564" s="79"/>
      <c r="M3564" s="104"/>
      <c r="P3564" s="79"/>
      <c r="S3564" s="79"/>
      <c r="V3564" s="79"/>
    </row>
    <row r="3565" spans="7:22" x14ac:dyDescent="0.2">
      <c r="G3565" s="79"/>
      <c r="J3565" s="79"/>
      <c r="M3565" s="104"/>
      <c r="P3565" s="79"/>
      <c r="S3565" s="79"/>
      <c r="V3565" s="79"/>
    </row>
    <row r="3566" spans="7:22" x14ac:dyDescent="0.2">
      <c r="G3566" s="79"/>
      <c r="J3566" s="79"/>
      <c r="M3566" s="104"/>
      <c r="P3566" s="79"/>
      <c r="S3566" s="79"/>
      <c r="V3566" s="79"/>
    </row>
    <row r="3567" spans="7:22" x14ac:dyDescent="0.2">
      <c r="G3567" s="79"/>
      <c r="J3567" s="79"/>
      <c r="M3567" s="104"/>
      <c r="P3567" s="79"/>
      <c r="S3567" s="79"/>
      <c r="V3567" s="79"/>
    </row>
    <row r="3568" spans="7:22" x14ac:dyDescent="0.2">
      <c r="G3568" s="79"/>
      <c r="J3568" s="79"/>
      <c r="M3568" s="104"/>
      <c r="P3568" s="79"/>
      <c r="S3568" s="79"/>
      <c r="V3568" s="79"/>
    </row>
    <row r="3569" spans="7:22" x14ac:dyDescent="0.2">
      <c r="G3569" s="79"/>
      <c r="J3569" s="79"/>
      <c r="M3569" s="104"/>
      <c r="P3569" s="79"/>
      <c r="S3569" s="79"/>
      <c r="V3569" s="79"/>
    </row>
    <row r="3570" spans="7:22" x14ac:dyDescent="0.2">
      <c r="G3570" s="79"/>
      <c r="J3570" s="79"/>
      <c r="M3570" s="104"/>
      <c r="P3570" s="79"/>
      <c r="S3570" s="79"/>
      <c r="V3570" s="79"/>
    </row>
    <row r="3571" spans="7:22" x14ac:dyDescent="0.2">
      <c r="G3571" s="79"/>
      <c r="J3571" s="79"/>
      <c r="M3571" s="104"/>
      <c r="P3571" s="79"/>
      <c r="S3571" s="79"/>
      <c r="V3571" s="79"/>
    </row>
    <row r="3572" spans="7:22" x14ac:dyDescent="0.2">
      <c r="G3572" s="79"/>
      <c r="J3572" s="79"/>
      <c r="M3572" s="104"/>
      <c r="P3572" s="79"/>
      <c r="S3572" s="79"/>
      <c r="V3572" s="79"/>
    </row>
    <row r="3573" spans="7:22" x14ac:dyDescent="0.2">
      <c r="G3573" s="79"/>
      <c r="J3573" s="79"/>
      <c r="M3573" s="104"/>
      <c r="P3573" s="79"/>
      <c r="S3573" s="79"/>
      <c r="V3573" s="79"/>
    </row>
    <row r="3574" spans="7:22" x14ac:dyDescent="0.2">
      <c r="G3574" s="79"/>
      <c r="J3574" s="79"/>
      <c r="M3574" s="104"/>
      <c r="P3574" s="79"/>
      <c r="S3574" s="79"/>
      <c r="V3574" s="79"/>
    </row>
    <row r="3575" spans="7:22" x14ac:dyDescent="0.2">
      <c r="G3575" s="79"/>
      <c r="J3575" s="79"/>
      <c r="M3575" s="104"/>
      <c r="P3575" s="79"/>
      <c r="S3575" s="79"/>
      <c r="V3575" s="79"/>
    </row>
    <row r="3576" spans="7:22" x14ac:dyDescent="0.2">
      <c r="G3576" s="79"/>
      <c r="J3576" s="79"/>
      <c r="M3576" s="104"/>
      <c r="P3576" s="79"/>
      <c r="S3576" s="79"/>
      <c r="V3576" s="79"/>
    </row>
    <row r="3577" spans="7:22" x14ac:dyDescent="0.2">
      <c r="G3577" s="79"/>
      <c r="J3577" s="79"/>
      <c r="M3577" s="104"/>
      <c r="P3577" s="79"/>
      <c r="S3577" s="79"/>
      <c r="V3577" s="79"/>
    </row>
    <row r="3578" spans="7:22" x14ac:dyDescent="0.2">
      <c r="G3578" s="79"/>
      <c r="J3578" s="79"/>
      <c r="M3578" s="104"/>
      <c r="P3578" s="79"/>
      <c r="S3578" s="79"/>
      <c r="V3578" s="79"/>
    </row>
    <row r="3579" spans="7:22" x14ac:dyDescent="0.2">
      <c r="G3579" s="79"/>
      <c r="J3579" s="79"/>
      <c r="M3579" s="104"/>
      <c r="P3579" s="79"/>
      <c r="S3579" s="79"/>
      <c r="V3579" s="79"/>
    </row>
    <row r="3580" spans="7:22" x14ac:dyDescent="0.2">
      <c r="G3580" s="79"/>
      <c r="J3580" s="79"/>
      <c r="M3580" s="104"/>
      <c r="P3580" s="79"/>
      <c r="S3580" s="79"/>
      <c r="V3580" s="79"/>
    </row>
    <row r="3581" spans="7:22" x14ac:dyDescent="0.2">
      <c r="G3581" s="79"/>
      <c r="J3581" s="79"/>
      <c r="M3581" s="104"/>
      <c r="P3581" s="79"/>
      <c r="S3581" s="79"/>
      <c r="V3581" s="79"/>
    </row>
    <row r="3582" spans="7:22" x14ac:dyDescent="0.2">
      <c r="G3582" s="79"/>
      <c r="J3582" s="79"/>
      <c r="M3582" s="104"/>
      <c r="P3582" s="79"/>
      <c r="S3582" s="79"/>
      <c r="V3582" s="79"/>
    </row>
    <row r="3583" spans="7:22" x14ac:dyDescent="0.2">
      <c r="G3583" s="79"/>
      <c r="J3583" s="79"/>
      <c r="M3583" s="104"/>
      <c r="P3583" s="79"/>
      <c r="S3583" s="79"/>
      <c r="V3583" s="79"/>
    </row>
    <row r="3584" spans="7:22" x14ac:dyDescent="0.2">
      <c r="G3584" s="79"/>
      <c r="J3584" s="79"/>
      <c r="M3584" s="104"/>
      <c r="P3584" s="79"/>
      <c r="S3584" s="79"/>
      <c r="V3584" s="79"/>
    </row>
    <row r="3585" spans="7:22" x14ac:dyDescent="0.2">
      <c r="G3585" s="79"/>
      <c r="J3585" s="79"/>
      <c r="M3585" s="104"/>
      <c r="P3585" s="79"/>
      <c r="S3585" s="79"/>
      <c r="V3585" s="79"/>
    </row>
    <row r="3586" spans="7:22" x14ac:dyDescent="0.2">
      <c r="G3586" s="79"/>
      <c r="J3586" s="79"/>
      <c r="M3586" s="104"/>
      <c r="P3586" s="79"/>
      <c r="S3586" s="79"/>
      <c r="V3586" s="79"/>
    </row>
    <row r="3587" spans="7:22" x14ac:dyDescent="0.2">
      <c r="G3587" s="79"/>
      <c r="J3587" s="79"/>
      <c r="M3587" s="104"/>
      <c r="P3587" s="79"/>
      <c r="S3587" s="79"/>
      <c r="V3587" s="79"/>
    </row>
    <row r="3588" spans="7:22" x14ac:dyDescent="0.2">
      <c r="G3588" s="79"/>
      <c r="J3588" s="79"/>
      <c r="M3588" s="104"/>
      <c r="P3588" s="79"/>
      <c r="S3588" s="79"/>
      <c r="V3588" s="79"/>
    </row>
    <row r="3589" spans="7:22" x14ac:dyDescent="0.2">
      <c r="G3589" s="79"/>
      <c r="J3589" s="79"/>
      <c r="M3589" s="104"/>
      <c r="P3589" s="79"/>
      <c r="S3589" s="79"/>
      <c r="V3589" s="79"/>
    </row>
    <row r="3590" spans="7:22" x14ac:dyDescent="0.2">
      <c r="G3590" s="79"/>
      <c r="J3590" s="79"/>
      <c r="M3590" s="104"/>
      <c r="P3590" s="79"/>
      <c r="S3590" s="79"/>
      <c r="V3590" s="79"/>
    </row>
    <row r="3591" spans="7:22" x14ac:dyDescent="0.2">
      <c r="G3591" s="79"/>
      <c r="J3591" s="79"/>
      <c r="M3591" s="104"/>
      <c r="P3591" s="79"/>
      <c r="S3591" s="79"/>
      <c r="V3591" s="79"/>
    </row>
    <row r="3592" spans="7:22" x14ac:dyDescent="0.2">
      <c r="G3592" s="79"/>
      <c r="J3592" s="79"/>
      <c r="M3592" s="104"/>
      <c r="P3592" s="79"/>
      <c r="S3592" s="79"/>
      <c r="V3592" s="79"/>
    </row>
    <row r="3593" spans="7:22" x14ac:dyDescent="0.2">
      <c r="G3593" s="79"/>
      <c r="J3593" s="79"/>
      <c r="M3593" s="104"/>
      <c r="P3593" s="79"/>
      <c r="S3593" s="79"/>
      <c r="V3593" s="79"/>
    </row>
    <row r="3594" spans="7:22" x14ac:dyDescent="0.2">
      <c r="G3594" s="79"/>
      <c r="J3594" s="79"/>
      <c r="M3594" s="104"/>
      <c r="P3594" s="79"/>
      <c r="S3594" s="79"/>
      <c r="V3594" s="79"/>
    </row>
    <row r="3595" spans="7:22" x14ac:dyDescent="0.2">
      <c r="G3595" s="79"/>
      <c r="J3595" s="79"/>
      <c r="M3595" s="104"/>
      <c r="P3595" s="79"/>
      <c r="S3595" s="79"/>
      <c r="V3595" s="79"/>
    </row>
    <row r="3596" spans="7:22" x14ac:dyDescent="0.2">
      <c r="G3596" s="79"/>
      <c r="J3596" s="79"/>
      <c r="M3596" s="104"/>
      <c r="P3596" s="79"/>
      <c r="S3596" s="79"/>
      <c r="V3596" s="79"/>
    </row>
    <row r="3597" spans="7:22" x14ac:dyDescent="0.2">
      <c r="G3597" s="79"/>
      <c r="J3597" s="79"/>
      <c r="M3597" s="104"/>
      <c r="P3597" s="79"/>
      <c r="S3597" s="79"/>
      <c r="V3597" s="79"/>
    </row>
    <row r="3598" spans="7:22" x14ac:dyDescent="0.2">
      <c r="G3598" s="79"/>
      <c r="J3598" s="79"/>
      <c r="M3598" s="104"/>
      <c r="P3598" s="79"/>
      <c r="S3598" s="79"/>
      <c r="V3598" s="79"/>
    </row>
    <row r="3599" spans="7:22" x14ac:dyDescent="0.2">
      <c r="G3599" s="79"/>
      <c r="J3599" s="79"/>
      <c r="M3599" s="104"/>
      <c r="P3599" s="79"/>
      <c r="S3599" s="79"/>
      <c r="V3599" s="79"/>
    </row>
    <row r="3600" spans="7:22" x14ac:dyDescent="0.2">
      <c r="G3600" s="79"/>
      <c r="J3600" s="79"/>
      <c r="M3600" s="104"/>
      <c r="P3600" s="79"/>
      <c r="S3600" s="79"/>
      <c r="V3600" s="79"/>
    </row>
    <row r="3601" spans="7:22" x14ac:dyDescent="0.2">
      <c r="G3601" s="79"/>
      <c r="J3601" s="79"/>
      <c r="M3601" s="104"/>
      <c r="P3601" s="79"/>
      <c r="S3601" s="79"/>
      <c r="V3601" s="79"/>
    </row>
    <row r="3602" spans="7:22" x14ac:dyDescent="0.2">
      <c r="G3602" s="79"/>
      <c r="J3602" s="79"/>
      <c r="M3602" s="104"/>
      <c r="P3602" s="79"/>
      <c r="S3602" s="79"/>
      <c r="V3602" s="79"/>
    </row>
    <row r="3603" spans="7:22" x14ac:dyDescent="0.2">
      <c r="G3603" s="79"/>
      <c r="J3603" s="79"/>
      <c r="M3603" s="104"/>
      <c r="P3603" s="79"/>
      <c r="S3603" s="79"/>
      <c r="V3603" s="79"/>
    </row>
    <row r="3604" spans="7:22" x14ac:dyDescent="0.2">
      <c r="G3604" s="79"/>
      <c r="J3604" s="79"/>
      <c r="M3604" s="104"/>
      <c r="P3604" s="79"/>
      <c r="S3604" s="79"/>
      <c r="V3604" s="79"/>
    </row>
    <row r="3605" spans="7:22" x14ac:dyDescent="0.2">
      <c r="G3605" s="79"/>
      <c r="J3605" s="79"/>
      <c r="M3605" s="104"/>
      <c r="P3605" s="79"/>
      <c r="S3605" s="79"/>
      <c r="V3605" s="79"/>
    </row>
    <row r="3606" spans="7:22" x14ac:dyDescent="0.2">
      <c r="G3606" s="79"/>
      <c r="J3606" s="79"/>
      <c r="M3606" s="104"/>
      <c r="P3606" s="79"/>
      <c r="S3606" s="79"/>
      <c r="V3606" s="79"/>
    </row>
    <row r="3607" spans="7:22" x14ac:dyDescent="0.2">
      <c r="G3607" s="79"/>
      <c r="J3607" s="79"/>
      <c r="M3607" s="104"/>
      <c r="P3607" s="79"/>
      <c r="S3607" s="79"/>
      <c r="V3607" s="79"/>
    </row>
    <row r="3608" spans="7:22" x14ac:dyDescent="0.2">
      <c r="G3608" s="79"/>
      <c r="J3608" s="79"/>
      <c r="M3608" s="104"/>
      <c r="P3608" s="79"/>
      <c r="S3608" s="79"/>
      <c r="V3608" s="79"/>
    </row>
    <row r="3609" spans="7:22" x14ac:dyDescent="0.2">
      <c r="G3609" s="79"/>
      <c r="J3609" s="79"/>
      <c r="M3609" s="104"/>
      <c r="P3609" s="79"/>
      <c r="S3609" s="79"/>
      <c r="V3609" s="79"/>
    </row>
    <row r="3610" spans="7:22" x14ac:dyDescent="0.2">
      <c r="G3610" s="79"/>
      <c r="J3610" s="79"/>
      <c r="M3610" s="104"/>
      <c r="P3610" s="79"/>
      <c r="S3610" s="79"/>
      <c r="V3610" s="79"/>
    </row>
    <row r="3611" spans="7:22" x14ac:dyDescent="0.2">
      <c r="G3611" s="79"/>
      <c r="J3611" s="79"/>
      <c r="M3611" s="104"/>
      <c r="P3611" s="79"/>
      <c r="S3611" s="79"/>
      <c r="V3611" s="79"/>
    </row>
    <row r="3612" spans="7:22" x14ac:dyDescent="0.2">
      <c r="G3612" s="79"/>
      <c r="J3612" s="79"/>
      <c r="M3612" s="104"/>
      <c r="P3612" s="79"/>
      <c r="S3612" s="79"/>
      <c r="V3612" s="79"/>
    </row>
    <row r="3613" spans="7:22" x14ac:dyDescent="0.2">
      <c r="G3613" s="79"/>
      <c r="J3613" s="79"/>
      <c r="M3613" s="104"/>
      <c r="P3613" s="79"/>
      <c r="S3613" s="79"/>
      <c r="V3613" s="79"/>
    </row>
    <row r="3614" spans="7:22" x14ac:dyDescent="0.2">
      <c r="G3614" s="79"/>
      <c r="J3614" s="79"/>
      <c r="M3614" s="104"/>
      <c r="P3614" s="79"/>
      <c r="S3614" s="79"/>
      <c r="V3614" s="79"/>
    </row>
    <row r="3615" spans="7:22" x14ac:dyDescent="0.2">
      <c r="G3615" s="79"/>
      <c r="J3615" s="79"/>
      <c r="M3615" s="104"/>
      <c r="P3615" s="79"/>
      <c r="S3615" s="79"/>
      <c r="V3615" s="79"/>
    </row>
    <row r="3616" spans="7:22" x14ac:dyDescent="0.2">
      <c r="G3616" s="79"/>
      <c r="J3616" s="79"/>
      <c r="M3616" s="104"/>
      <c r="P3616" s="79"/>
      <c r="S3616" s="79"/>
      <c r="V3616" s="79"/>
    </row>
    <row r="3617" spans="7:22" x14ac:dyDescent="0.2">
      <c r="G3617" s="79"/>
      <c r="J3617" s="79"/>
      <c r="M3617" s="104"/>
      <c r="P3617" s="79"/>
      <c r="S3617" s="79"/>
      <c r="V3617" s="79"/>
    </row>
    <row r="3618" spans="7:22" x14ac:dyDescent="0.2">
      <c r="G3618" s="79"/>
      <c r="J3618" s="79"/>
      <c r="M3618" s="104"/>
      <c r="P3618" s="79"/>
      <c r="S3618" s="79"/>
      <c r="V3618" s="79"/>
    </row>
    <row r="3619" spans="7:22" x14ac:dyDescent="0.2">
      <c r="G3619" s="79"/>
      <c r="J3619" s="79"/>
      <c r="M3619" s="104"/>
      <c r="P3619" s="79"/>
      <c r="S3619" s="79"/>
      <c r="V3619" s="79"/>
    </row>
    <row r="3620" spans="7:22" x14ac:dyDescent="0.2">
      <c r="G3620" s="79"/>
      <c r="J3620" s="79"/>
      <c r="M3620" s="104"/>
      <c r="P3620" s="79"/>
      <c r="S3620" s="79"/>
      <c r="V3620" s="79"/>
    </row>
    <row r="3621" spans="7:22" x14ac:dyDescent="0.2">
      <c r="G3621" s="79"/>
      <c r="J3621" s="79"/>
      <c r="M3621" s="104"/>
      <c r="P3621" s="79"/>
      <c r="S3621" s="79"/>
      <c r="V3621" s="79"/>
    </row>
    <row r="3622" spans="7:22" x14ac:dyDescent="0.2">
      <c r="G3622" s="79"/>
      <c r="J3622" s="79"/>
      <c r="M3622" s="104"/>
      <c r="P3622" s="79"/>
      <c r="S3622" s="79"/>
      <c r="V3622" s="79"/>
    </row>
    <row r="3623" spans="7:22" x14ac:dyDescent="0.2">
      <c r="G3623" s="79"/>
      <c r="J3623" s="79"/>
      <c r="M3623" s="104"/>
      <c r="P3623" s="79"/>
      <c r="S3623" s="79"/>
      <c r="V3623" s="79"/>
    </row>
    <row r="3624" spans="7:22" x14ac:dyDescent="0.2">
      <c r="G3624" s="79"/>
      <c r="J3624" s="79"/>
      <c r="M3624" s="104"/>
      <c r="P3624" s="79"/>
      <c r="S3624" s="79"/>
      <c r="V3624" s="79"/>
    </row>
    <row r="3625" spans="7:22" x14ac:dyDescent="0.2">
      <c r="G3625" s="79"/>
      <c r="J3625" s="79"/>
      <c r="M3625" s="104"/>
      <c r="P3625" s="79"/>
      <c r="S3625" s="79"/>
      <c r="V3625" s="79"/>
    </row>
    <row r="3626" spans="7:22" x14ac:dyDescent="0.2">
      <c r="G3626" s="79"/>
      <c r="J3626" s="79"/>
      <c r="M3626" s="104"/>
      <c r="P3626" s="79"/>
      <c r="S3626" s="79"/>
      <c r="V3626" s="79"/>
    </row>
    <row r="3627" spans="7:22" x14ac:dyDescent="0.2">
      <c r="G3627" s="79"/>
      <c r="J3627" s="79"/>
      <c r="M3627" s="104"/>
      <c r="P3627" s="79"/>
      <c r="S3627" s="79"/>
      <c r="V3627" s="79"/>
    </row>
    <row r="3628" spans="7:22" x14ac:dyDescent="0.2">
      <c r="G3628" s="79"/>
      <c r="J3628" s="79"/>
      <c r="M3628" s="104"/>
      <c r="P3628" s="79"/>
      <c r="S3628" s="79"/>
      <c r="V3628" s="79"/>
    </row>
    <row r="3629" spans="7:22" x14ac:dyDescent="0.2">
      <c r="G3629" s="79"/>
      <c r="J3629" s="79"/>
      <c r="M3629" s="104"/>
      <c r="P3629" s="79"/>
      <c r="S3629" s="79"/>
      <c r="V3629" s="79"/>
    </row>
    <row r="3630" spans="7:22" x14ac:dyDescent="0.2">
      <c r="G3630" s="79"/>
      <c r="J3630" s="79"/>
      <c r="M3630" s="104"/>
      <c r="P3630" s="79"/>
      <c r="S3630" s="79"/>
      <c r="V3630" s="79"/>
    </row>
    <row r="3631" spans="7:22" x14ac:dyDescent="0.2">
      <c r="G3631" s="79"/>
      <c r="J3631" s="79"/>
      <c r="M3631" s="104"/>
      <c r="P3631" s="79"/>
      <c r="S3631" s="79"/>
      <c r="V3631" s="79"/>
    </row>
    <row r="3632" spans="7:22" x14ac:dyDescent="0.2">
      <c r="G3632" s="79"/>
      <c r="J3632" s="79"/>
      <c r="M3632" s="104"/>
      <c r="P3632" s="79"/>
      <c r="S3632" s="79"/>
      <c r="V3632" s="79"/>
    </row>
    <row r="3633" spans="7:22" x14ac:dyDescent="0.2">
      <c r="G3633" s="79"/>
      <c r="J3633" s="79"/>
      <c r="M3633" s="104"/>
      <c r="P3633" s="79"/>
      <c r="S3633" s="79"/>
      <c r="V3633" s="79"/>
    </row>
    <row r="3634" spans="7:22" x14ac:dyDescent="0.2">
      <c r="G3634" s="79"/>
      <c r="J3634" s="79"/>
      <c r="M3634" s="104"/>
      <c r="P3634" s="79"/>
      <c r="S3634" s="79"/>
      <c r="V3634" s="79"/>
    </row>
    <row r="3635" spans="7:22" x14ac:dyDescent="0.2">
      <c r="G3635" s="79"/>
      <c r="J3635" s="79"/>
      <c r="M3635" s="104"/>
      <c r="P3635" s="79"/>
      <c r="S3635" s="79"/>
      <c r="V3635" s="79"/>
    </row>
    <row r="3636" spans="7:22" x14ac:dyDescent="0.2">
      <c r="G3636" s="79"/>
      <c r="J3636" s="79"/>
      <c r="M3636" s="104"/>
      <c r="P3636" s="79"/>
      <c r="S3636" s="79"/>
      <c r="V3636" s="79"/>
    </row>
    <row r="3637" spans="7:22" x14ac:dyDescent="0.2">
      <c r="G3637" s="79"/>
      <c r="J3637" s="79"/>
      <c r="M3637" s="104"/>
      <c r="P3637" s="79"/>
      <c r="S3637" s="79"/>
      <c r="V3637" s="79"/>
    </row>
    <row r="3638" spans="7:22" x14ac:dyDescent="0.2">
      <c r="G3638" s="79"/>
      <c r="J3638" s="79"/>
      <c r="M3638" s="104"/>
      <c r="P3638" s="79"/>
      <c r="S3638" s="79"/>
      <c r="V3638" s="79"/>
    </row>
    <row r="3639" spans="7:22" x14ac:dyDescent="0.2">
      <c r="G3639" s="79"/>
      <c r="J3639" s="79"/>
      <c r="M3639" s="104"/>
      <c r="P3639" s="79"/>
      <c r="S3639" s="79"/>
      <c r="V3639" s="79"/>
    </row>
    <row r="3640" spans="7:22" x14ac:dyDescent="0.2">
      <c r="G3640" s="79"/>
      <c r="J3640" s="79"/>
      <c r="M3640" s="104"/>
      <c r="P3640" s="79"/>
      <c r="S3640" s="79"/>
      <c r="V3640" s="79"/>
    </row>
    <row r="3641" spans="7:22" x14ac:dyDescent="0.2">
      <c r="G3641" s="79"/>
      <c r="J3641" s="79"/>
      <c r="M3641" s="104"/>
      <c r="P3641" s="79"/>
      <c r="S3641" s="79"/>
      <c r="V3641" s="79"/>
    </row>
    <row r="3642" spans="7:22" x14ac:dyDescent="0.2">
      <c r="G3642" s="79"/>
      <c r="J3642" s="79"/>
      <c r="M3642" s="104"/>
      <c r="P3642" s="79"/>
      <c r="S3642" s="79"/>
      <c r="V3642" s="79"/>
    </row>
    <row r="3643" spans="7:22" x14ac:dyDescent="0.2">
      <c r="G3643" s="79"/>
      <c r="J3643" s="79"/>
      <c r="M3643" s="104"/>
      <c r="P3643" s="79"/>
      <c r="S3643" s="79"/>
      <c r="V3643" s="79"/>
    </row>
    <row r="3644" spans="7:22" x14ac:dyDescent="0.2">
      <c r="G3644" s="79"/>
      <c r="J3644" s="79"/>
      <c r="M3644" s="104"/>
      <c r="P3644" s="79"/>
      <c r="S3644" s="79"/>
      <c r="V3644" s="79"/>
    </row>
    <row r="3645" spans="7:22" x14ac:dyDescent="0.2">
      <c r="G3645" s="79"/>
      <c r="J3645" s="79"/>
      <c r="M3645" s="104"/>
      <c r="P3645" s="79"/>
      <c r="S3645" s="79"/>
      <c r="V3645" s="79"/>
    </row>
    <row r="3646" spans="7:22" x14ac:dyDescent="0.2">
      <c r="G3646" s="79"/>
      <c r="J3646" s="79"/>
      <c r="M3646" s="104"/>
      <c r="P3646" s="79"/>
      <c r="S3646" s="79"/>
      <c r="V3646" s="79"/>
    </row>
    <row r="3647" spans="7:22" x14ac:dyDescent="0.2">
      <c r="G3647" s="79"/>
      <c r="J3647" s="79"/>
      <c r="M3647" s="104"/>
      <c r="P3647" s="79"/>
      <c r="S3647" s="79"/>
      <c r="V3647" s="79"/>
    </row>
    <row r="3648" spans="7:22" x14ac:dyDescent="0.2">
      <c r="G3648" s="79"/>
      <c r="J3648" s="79"/>
      <c r="M3648" s="104"/>
      <c r="P3648" s="79"/>
      <c r="S3648" s="79"/>
      <c r="V3648" s="79"/>
    </row>
    <row r="3649" spans="7:22" x14ac:dyDescent="0.2">
      <c r="G3649" s="79"/>
      <c r="J3649" s="79"/>
      <c r="M3649" s="104"/>
      <c r="P3649" s="79"/>
      <c r="S3649" s="79"/>
      <c r="V3649" s="79"/>
    </row>
    <row r="3650" spans="7:22" x14ac:dyDescent="0.2">
      <c r="G3650" s="79"/>
      <c r="J3650" s="79"/>
      <c r="M3650" s="104"/>
      <c r="P3650" s="79"/>
      <c r="S3650" s="79"/>
      <c r="V3650" s="79"/>
    </row>
    <row r="3651" spans="7:22" x14ac:dyDescent="0.2">
      <c r="G3651" s="79"/>
      <c r="J3651" s="79"/>
      <c r="M3651" s="104"/>
      <c r="P3651" s="79"/>
      <c r="S3651" s="79"/>
      <c r="V3651" s="79"/>
    </row>
    <row r="3652" spans="7:22" x14ac:dyDescent="0.2">
      <c r="G3652" s="79"/>
      <c r="J3652" s="79"/>
      <c r="M3652" s="104"/>
      <c r="P3652" s="79"/>
      <c r="S3652" s="79"/>
      <c r="V3652" s="79"/>
    </row>
    <row r="3653" spans="7:22" x14ac:dyDescent="0.2">
      <c r="G3653" s="79"/>
      <c r="J3653" s="79"/>
      <c r="M3653" s="104"/>
      <c r="P3653" s="79"/>
      <c r="S3653" s="79"/>
      <c r="V3653" s="79"/>
    </row>
    <row r="3654" spans="7:22" x14ac:dyDescent="0.2">
      <c r="G3654" s="79"/>
      <c r="J3654" s="79"/>
      <c r="M3654" s="104"/>
      <c r="P3654" s="79"/>
      <c r="S3654" s="79"/>
      <c r="V3654" s="79"/>
    </row>
    <row r="3655" spans="7:22" x14ac:dyDescent="0.2">
      <c r="G3655" s="79"/>
      <c r="J3655" s="79"/>
      <c r="M3655" s="104"/>
      <c r="P3655" s="79"/>
      <c r="S3655" s="79"/>
      <c r="V3655" s="79"/>
    </row>
    <row r="3656" spans="7:22" x14ac:dyDescent="0.2">
      <c r="G3656" s="79"/>
      <c r="J3656" s="79"/>
      <c r="M3656" s="104"/>
      <c r="P3656" s="79"/>
      <c r="S3656" s="79"/>
      <c r="V3656" s="79"/>
    </row>
    <row r="3657" spans="7:22" x14ac:dyDescent="0.2">
      <c r="G3657" s="79"/>
      <c r="J3657" s="79"/>
      <c r="M3657" s="104"/>
      <c r="P3657" s="79"/>
      <c r="S3657" s="79"/>
      <c r="V3657" s="79"/>
    </row>
    <row r="3658" spans="7:22" x14ac:dyDescent="0.2">
      <c r="G3658" s="79"/>
      <c r="J3658" s="79"/>
      <c r="M3658" s="104"/>
      <c r="P3658" s="79"/>
      <c r="S3658" s="79"/>
      <c r="V3658" s="79"/>
    </row>
    <row r="3659" spans="7:22" x14ac:dyDescent="0.2">
      <c r="G3659" s="79"/>
      <c r="J3659" s="79"/>
      <c r="M3659" s="104"/>
      <c r="P3659" s="79"/>
      <c r="S3659" s="79"/>
      <c r="V3659" s="79"/>
    </row>
    <row r="3660" spans="7:22" x14ac:dyDescent="0.2">
      <c r="G3660" s="79"/>
      <c r="J3660" s="79"/>
      <c r="M3660" s="104"/>
      <c r="P3660" s="79"/>
      <c r="S3660" s="79"/>
      <c r="V3660" s="79"/>
    </row>
    <row r="3661" spans="7:22" x14ac:dyDescent="0.2">
      <c r="G3661" s="79"/>
      <c r="J3661" s="79"/>
      <c r="M3661" s="104"/>
      <c r="P3661" s="79"/>
      <c r="S3661" s="79"/>
      <c r="V3661" s="79"/>
    </row>
    <row r="3662" spans="7:22" x14ac:dyDescent="0.2">
      <c r="G3662" s="79"/>
      <c r="J3662" s="79"/>
      <c r="M3662" s="104"/>
      <c r="P3662" s="79"/>
      <c r="S3662" s="79"/>
      <c r="V3662" s="79"/>
    </row>
    <row r="3663" spans="7:22" x14ac:dyDescent="0.2">
      <c r="G3663" s="79"/>
      <c r="J3663" s="79"/>
      <c r="M3663" s="104"/>
      <c r="P3663" s="79"/>
      <c r="S3663" s="79"/>
      <c r="V3663" s="79"/>
    </row>
    <row r="3664" spans="7:22" x14ac:dyDescent="0.2">
      <c r="G3664" s="79"/>
      <c r="J3664" s="79"/>
      <c r="M3664" s="104"/>
      <c r="P3664" s="79"/>
      <c r="S3664" s="79"/>
      <c r="V3664" s="79"/>
    </row>
    <row r="3665" spans="7:22" x14ac:dyDescent="0.2">
      <c r="G3665" s="79"/>
      <c r="J3665" s="79"/>
      <c r="M3665" s="104"/>
      <c r="P3665" s="79"/>
      <c r="S3665" s="79"/>
      <c r="V3665" s="79"/>
    </row>
    <row r="3666" spans="7:22" x14ac:dyDescent="0.2">
      <c r="G3666" s="79"/>
      <c r="J3666" s="79"/>
      <c r="M3666" s="104"/>
      <c r="P3666" s="79"/>
      <c r="S3666" s="79"/>
      <c r="V3666" s="79"/>
    </row>
    <row r="3667" spans="7:22" x14ac:dyDescent="0.2">
      <c r="G3667" s="79"/>
      <c r="J3667" s="79"/>
      <c r="M3667" s="104"/>
      <c r="P3667" s="79"/>
      <c r="S3667" s="79"/>
      <c r="V3667" s="79"/>
    </row>
    <row r="3668" spans="7:22" x14ac:dyDescent="0.2">
      <c r="G3668" s="79"/>
      <c r="J3668" s="79"/>
      <c r="M3668" s="104"/>
      <c r="P3668" s="79"/>
      <c r="S3668" s="79"/>
      <c r="V3668" s="79"/>
    </row>
    <row r="3669" spans="7:22" x14ac:dyDescent="0.2">
      <c r="G3669" s="79"/>
      <c r="J3669" s="79"/>
      <c r="M3669" s="104"/>
      <c r="P3669" s="79"/>
      <c r="S3669" s="79"/>
      <c r="V3669" s="79"/>
    </row>
    <row r="3670" spans="7:22" x14ac:dyDescent="0.2">
      <c r="G3670" s="79"/>
      <c r="J3670" s="79"/>
      <c r="M3670" s="104"/>
      <c r="P3670" s="79"/>
      <c r="S3670" s="79"/>
      <c r="V3670" s="79"/>
    </row>
    <row r="3671" spans="7:22" x14ac:dyDescent="0.2">
      <c r="G3671" s="79"/>
      <c r="J3671" s="79"/>
      <c r="M3671" s="104"/>
      <c r="P3671" s="79"/>
      <c r="S3671" s="79"/>
      <c r="V3671" s="79"/>
    </row>
    <row r="3672" spans="7:22" x14ac:dyDescent="0.2">
      <c r="G3672" s="79"/>
      <c r="J3672" s="79"/>
      <c r="M3672" s="104"/>
      <c r="P3672" s="79"/>
      <c r="S3672" s="79"/>
      <c r="V3672" s="79"/>
    </row>
    <row r="3673" spans="7:22" x14ac:dyDescent="0.2">
      <c r="G3673" s="79"/>
      <c r="J3673" s="79"/>
      <c r="M3673" s="104"/>
      <c r="P3673" s="79"/>
      <c r="S3673" s="79"/>
      <c r="V3673" s="79"/>
    </row>
    <row r="3674" spans="7:22" x14ac:dyDescent="0.2">
      <c r="G3674" s="79"/>
      <c r="J3674" s="79"/>
      <c r="M3674" s="104"/>
      <c r="P3674" s="79"/>
      <c r="S3674" s="79"/>
      <c r="V3674" s="79"/>
    </row>
    <row r="3675" spans="7:22" x14ac:dyDescent="0.2">
      <c r="G3675" s="79"/>
      <c r="J3675" s="79"/>
      <c r="M3675" s="104"/>
      <c r="P3675" s="79"/>
      <c r="S3675" s="79"/>
      <c r="V3675" s="79"/>
    </row>
    <row r="3676" spans="7:22" x14ac:dyDescent="0.2">
      <c r="G3676" s="79"/>
      <c r="J3676" s="79"/>
      <c r="M3676" s="104"/>
      <c r="P3676" s="79"/>
      <c r="S3676" s="79"/>
      <c r="V3676" s="79"/>
    </row>
    <row r="3677" spans="7:22" x14ac:dyDescent="0.2">
      <c r="G3677" s="79"/>
      <c r="J3677" s="79"/>
      <c r="M3677" s="104"/>
      <c r="P3677" s="79"/>
      <c r="S3677" s="79"/>
      <c r="V3677" s="79"/>
    </row>
    <row r="3678" spans="7:22" x14ac:dyDescent="0.2">
      <c r="G3678" s="79"/>
      <c r="J3678" s="79"/>
      <c r="M3678" s="104"/>
      <c r="P3678" s="79"/>
      <c r="S3678" s="79"/>
      <c r="V3678" s="79"/>
    </row>
    <row r="3679" spans="7:22" x14ac:dyDescent="0.2">
      <c r="G3679" s="79"/>
      <c r="J3679" s="79"/>
      <c r="M3679" s="104"/>
      <c r="P3679" s="79"/>
      <c r="S3679" s="79"/>
      <c r="V3679" s="79"/>
    </row>
    <row r="3680" spans="7:22" x14ac:dyDescent="0.2">
      <c r="G3680" s="79"/>
      <c r="J3680" s="79"/>
      <c r="M3680" s="104"/>
      <c r="P3680" s="79"/>
      <c r="S3680" s="79"/>
      <c r="V3680" s="79"/>
    </row>
    <row r="3681" spans="7:22" x14ac:dyDescent="0.2">
      <c r="G3681" s="79"/>
      <c r="J3681" s="79"/>
      <c r="M3681" s="104"/>
      <c r="P3681" s="79"/>
      <c r="S3681" s="79"/>
      <c r="V3681" s="79"/>
    </row>
    <row r="3682" spans="7:22" x14ac:dyDescent="0.2">
      <c r="G3682" s="79"/>
      <c r="J3682" s="79"/>
      <c r="M3682" s="104"/>
      <c r="P3682" s="79"/>
      <c r="S3682" s="79"/>
      <c r="V3682" s="79"/>
    </row>
    <row r="3683" spans="7:22" x14ac:dyDescent="0.2">
      <c r="G3683" s="79"/>
      <c r="J3683" s="79"/>
      <c r="M3683" s="104"/>
      <c r="P3683" s="79"/>
      <c r="S3683" s="79"/>
      <c r="V3683" s="79"/>
    </row>
    <row r="3684" spans="7:22" x14ac:dyDescent="0.2">
      <c r="G3684" s="79"/>
      <c r="J3684" s="79"/>
      <c r="M3684" s="104"/>
      <c r="P3684" s="79"/>
      <c r="S3684" s="79"/>
      <c r="V3684" s="79"/>
    </row>
    <row r="3685" spans="7:22" x14ac:dyDescent="0.2">
      <c r="G3685" s="79"/>
      <c r="J3685" s="79"/>
      <c r="M3685" s="104"/>
      <c r="P3685" s="79"/>
      <c r="S3685" s="79"/>
      <c r="V3685" s="79"/>
    </row>
    <row r="3686" spans="7:22" x14ac:dyDescent="0.2">
      <c r="G3686" s="79"/>
      <c r="J3686" s="79"/>
      <c r="M3686" s="104"/>
      <c r="P3686" s="79"/>
      <c r="S3686" s="79"/>
      <c r="V3686" s="79"/>
    </row>
    <row r="3687" spans="7:22" x14ac:dyDescent="0.2">
      <c r="G3687" s="79"/>
      <c r="J3687" s="79"/>
      <c r="M3687" s="104"/>
      <c r="P3687" s="79"/>
      <c r="S3687" s="79"/>
      <c r="V3687" s="79"/>
    </row>
    <row r="3688" spans="7:22" x14ac:dyDescent="0.2">
      <c r="G3688" s="79"/>
      <c r="J3688" s="79"/>
      <c r="M3688" s="104"/>
      <c r="P3688" s="79"/>
      <c r="S3688" s="79"/>
      <c r="V3688" s="79"/>
    </row>
    <row r="3689" spans="7:22" x14ac:dyDescent="0.2">
      <c r="G3689" s="79"/>
      <c r="J3689" s="79"/>
      <c r="M3689" s="104"/>
      <c r="P3689" s="79"/>
      <c r="S3689" s="79"/>
      <c r="V3689" s="79"/>
    </row>
    <row r="3690" spans="7:22" x14ac:dyDescent="0.2">
      <c r="G3690" s="79"/>
      <c r="J3690" s="79"/>
      <c r="M3690" s="104"/>
      <c r="P3690" s="79"/>
      <c r="S3690" s="79"/>
      <c r="V3690" s="79"/>
    </row>
    <row r="3691" spans="7:22" x14ac:dyDescent="0.2">
      <c r="G3691" s="79"/>
      <c r="J3691" s="79"/>
      <c r="M3691" s="104"/>
      <c r="P3691" s="79"/>
      <c r="S3691" s="79"/>
      <c r="V3691" s="79"/>
    </row>
    <row r="3692" spans="7:22" x14ac:dyDescent="0.2">
      <c r="G3692" s="79"/>
      <c r="J3692" s="79"/>
      <c r="M3692" s="104"/>
      <c r="P3692" s="79"/>
      <c r="S3692" s="79"/>
      <c r="V3692" s="79"/>
    </row>
    <row r="3693" spans="7:22" x14ac:dyDescent="0.2">
      <c r="G3693" s="79"/>
      <c r="J3693" s="79"/>
      <c r="M3693" s="104"/>
      <c r="P3693" s="79"/>
      <c r="S3693" s="79"/>
      <c r="V3693" s="79"/>
    </row>
    <row r="3694" spans="7:22" x14ac:dyDescent="0.2">
      <c r="G3694" s="79"/>
      <c r="J3694" s="79"/>
      <c r="M3694" s="104"/>
      <c r="P3694" s="79"/>
      <c r="S3694" s="79"/>
      <c r="V3694" s="79"/>
    </row>
    <row r="3695" spans="7:22" x14ac:dyDescent="0.2">
      <c r="G3695" s="79"/>
      <c r="J3695" s="79"/>
      <c r="M3695" s="104"/>
      <c r="P3695" s="79"/>
      <c r="S3695" s="79"/>
      <c r="V3695" s="79"/>
    </row>
    <row r="3696" spans="7:22" x14ac:dyDescent="0.2">
      <c r="G3696" s="79"/>
      <c r="J3696" s="79"/>
      <c r="M3696" s="104"/>
      <c r="P3696" s="79"/>
      <c r="S3696" s="79"/>
      <c r="V3696" s="79"/>
    </row>
    <row r="3697" spans="7:22" x14ac:dyDescent="0.2">
      <c r="G3697" s="79"/>
      <c r="J3697" s="79"/>
      <c r="M3697" s="104"/>
      <c r="P3697" s="79"/>
      <c r="S3697" s="79"/>
      <c r="V3697" s="79"/>
    </row>
    <row r="3698" spans="7:22" x14ac:dyDescent="0.2">
      <c r="G3698" s="79"/>
      <c r="J3698" s="79"/>
      <c r="M3698" s="104"/>
      <c r="P3698" s="79"/>
      <c r="S3698" s="79"/>
      <c r="V3698" s="79"/>
    </row>
    <row r="3699" spans="7:22" x14ac:dyDescent="0.2">
      <c r="G3699" s="79"/>
      <c r="J3699" s="79"/>
      <c r="M3699" s="104"/>
      <c r="P3699" s="79"/>
      <c r="S3699" s="79"/>
      <c r="V3699" s="79"/>
    </row>
    <row r="3700" spans="7:22" x14ac:dyDescent="0.2">
      <c r="G3700" s="79"/>
      <c r="J3700" s="79"/>
      <c r="M3700" s="104"/>
      <c r="P3700" s="79"/>
      <c r="S3700" s="79"/>
      <c r="V3700" s="79"/>
    </row>
    <row r="3701" spans="7:22" x14ac:dyDescent="0.2">
      <c r="G3701" s="79"/>
      <c r="J3701" s="79"/>
      <c r="M3701" s="104"/>
      <c r="P3701" s="79"/>
      <c r="S3701" s="79"/>
      <c r="V3701" s="79"/>
    </row>
    <row r="3702" spans="7:22" x14ac:dyDescent="0.2">
      <c r="G3702" s="79"/>
      <c r="J3702" s="79"/>
      <c r="M3702" s="104"/>
      <c r="P3702" s="79"/>
      <c r="S3702" s="79"/>
      <c r="V3702" s="79"/>
    </row>
    <row r="3703" spans="7:22" x14ac:dyDescent="0.2">
      <c r="G3703" s="79"/>
      <c r="J3703" s="79"/>
      <c r="M3703" s="104"/>
      <c r="P3703" s="79"/>
      <c r="S3703" s="79"/>
      <c r="V3703" s="79"/>
    </row>
    <row r="3704" spans="7:22" x14ac:dyDescent="0.2">
      <c r="G3704" s="79"/>
      <c r="J3704" s="79"/>
      <c r="M3704" s="104"/>
      <c r="P3704" s="79"/>
      <c r="S3704" s="79"/>
      <c r="V3704" s="79"/>
    </row>
    <row r="3705" spans="7:22" x14ac:dyDescent="0.2">
      <c r="G3705" s="79"/>
      <c r="J3705" s="79"/>
      <c r="M3705" s="104"/>
      <c r="P3705" s="79"/>
      <c r="S3705" s="79"/>
      <c r="V3705" s="79"/>
    </row>
    <row r="3706" spans="7:22" x14ac:dyDescent="0.2">
      <c r="G3706" s="79"/>
      <c r="J3706" s="79"/>
      <c r="M3706" s="104"/>
      <c r="P3706" s="79"/>
      <c r="S3706" s="79"/>
      <c r="V3706" s="79"/>
    </row>
    <row r="3707" spans="7:22" x14ac:dyDescent="0.2">
      <c r="G3707" s="79"/>
      <c r="J3707" s="79"/>
      <c r="M3707" s="104"/>
      <c r="P3707" s="79"/>
      <c r="S3707" s="79"/>
      <c r="V3707" s="79"/>
    </row>
    <row r="3708" spans="7:22" x14ac:dyDescent="0.2">
      <c r="G3708" s="79"/>
      <c r="J3708" s="79"/>
      <c r="M3708" s="104"/>
      <c r="P3708" s="79"/>
      <c r="S3708" s="79"/>
      <c r="V3708" s="79"/>
    </row>
    <row r="3709" spans="7:22" x14ac:dyDescent="0.2">
      <c r="G3709" s="79"/>
      <c r="J3709" s="79"/>
      <c r="M3709" s="104"/>
      <c r="P3709" s="79"/>
      <c r="S3709" s="79"/>
      <c r="V3709" s="79"/>
    </row>
    <row r="3710" spans="7:22" x14ac:dyDescent="0.2">
      <c r="G3710" s="79"/>
      <c r="J3710" s="79"/>
      <c r="M3710" s="104"/>
      <c r="P3710" s="79"/>
      <c r="S3710" s="79"/>
      <c r="V3710" s="79"/>
    </row>
    <row r="3711" spans="7:22" x14ac:dyDescent="0.2">
      <c r="G3711" s="79"/>
      <c r="J3711" s="79"/>
      <c r="M3711" s="104"/>
      <c r="P3711" s="79"/>
      <c r="S3711" s="79"/>
      <c r="V3711" s="79"/>
    </row>
    <row r="3712" spans="7:22" x14ac:dyDescent="0.2">
      <c r="G3712" s="79"/>
      <c r="J3712" s="79"/>
      <c r="M3712" s="104"/>
      <c r="P3712" s="79"/>
      <c r="S3712" s="79"/>
      <c r="V3712" s="79"/>
    </row>
    <row r="3713" spans="7:22" x14ac:dyDescent="0.2">
      <c r="G3713" s="79"/>
      <c r="J3713" s="79"/>
      <c r="M3713" s="104"/>
      <c r="P3713" s="79"/>
      <c r="S3713" s="79"/>
      <c r="V3713" s="79"/>
    </row>
    <row r="3714" spans="7:22" x14ac:dyDescent="0.2">
      <c r="G3714" s="79"/>
      <c r="J3714" s="79"/>
      <c r="M3714" s="104"/>
      <c r="P3714" s="79"/>
      <c r="S3714" s="79"/>
      <c r="V3714" s="79"/>
    </row>
    <row r="3715" spans="7:22" x14ac:dyDescent="0.2">
      <c r="G3715" s="79"/>
      <c r="J3715" s="79"/>
      <c r="M3715" s="104"/>
      <c r="P3715" s="79"/>
      <c r="S3715" s="79"/>
      <c r="V3715" s="79"/>
    </row>
    <row r="3716" spans="7:22" x14ac:dyDescent="0.2">
      <c r="G3716" s="79"/>
      <c r="J3716" s="79"/>
      <c r="M3716" s="104"/>
      <c r="P3716" s="79"/>
      <c r="S3716" s="79"/>
      <c r="V3716" s="79"/>
    </row>
    <row r="3717" spans="7:22" x14ac:dyDescent="0.2">
      <c r="G3717" s="79"/>
      <c r="J3717" s="79"/>
      <c r="M3717" s="104"/>
      <c r="P3717" s="79"/>
      <c r="S3717" s="79"/>
      <c r="V3717" s="79"/>
    </row>
    <row r="3718" spans="7:22" x14ac:dyDescent="0.2">
      <c r="G3718" s="79"/>
      <c r="J3718" s="79"/>
      <c r="M3718" s="104"/>
      <c r="P3718" s="79"/>
      <c r="S3718" s="79"/>
      <c r="V3718" s="79"/>
    </row>
    <row r="3719" spans="7:22" x14ac:dyDescent="0.2">
      <c r="G3719" s="79"/>
      <c r="J3719" s="79"/>
      <c r="M3719" s="104"/>
      <c r="P3719" s="79"/>
      <c r="S3719" s="79"/>
      <c r="V3719" s="79"/>
    </row>
    <row r="3720" spans="7:22" x14ac:dyDescent="0.2">
      <c r="G3720" s="79"/>
      <c r="J3720" s="79"/>
      <c r="M3720" s="104"/>
      <c r="P3720" s="79"/>
      <c r="S3720" s="79"/>
      <c r="V3720" s="79"/>
    </row>
    <row r="3721" spans="7:22" x14ac:dyDescent="0.2">
      <c r="G3721" s="79"/>
      <c r="J3721" s="79"/>
      <c r="M3721" s="104"/>
      <c r="P3721" s="79"/>
      <c r="S3721" s="79"/>
      <c r="V3721" s="79"/>
    </row>
    <row r="3722" spans="7:22" x14ac:dyDescent="0.2">
      <c r="G3722" s="79"/>
      <c r="J3722" s="79"/>
      <c r="M3722" s="104"/>
      <c r="P3722" s="79"/>
      <c r="S3722" s="79"/>
      <c r="V3722" s="79"/>
    </row>
    <row r="3723" spans="7:22" x14ac:dyDescent="0.2">
      <c r="G3723" s="79"/>
      <c r="J3723" s="79"/>
      <c r="M3723" s="104"/>
      <c r="P3723" s="79"/>
      <c r="S3723" s="79"/>
      <c r="V3723" s="79"/>
    </row>
    <row r="3724" spans="7:22" x14ac:dyDescent="0.2">
      <c r="G3724" s="79"/>
      <c r="J3724" s="79"/>
      <c r="M3724" s="104"/>
      <c r="P3724" s="79"/>
      <c r="S3724" s="79"/>
      <c r="V3724" s="79"/>
    </row>
    <row r="3725" spans="7:22" x14ac:dyDescent="0.2">
      <c r="G3725" s="79"/>
      <c r="J3725" s="79"/>
      <c r="M3725" s="104"/>
      <c r="P3725" s="79"/>
      <c r="S3725" s="79"/>
      <c r="V3725" s="79"/>
    </row>
    <row r="3726" spans="7:22" x14ac:dyDescent="0.2">
      <c r="G3726" s="79"/>
      <c r="J3726" s="79"/>
      <c r="M3726" s="104"/>
      <c r="P3726" s="79"/>
      <c r="S3726" s="79"/>
      <c r="V3726" s="79"/>
    </row>
    <row r="3727" spans="7:22" x14ac:dyDescent="0.2">
      <c r="G3727" s="79"/>
      <c r="J3727" s="79"/>
      <c r="M3727" s="104"/>
      <c r="P3727" s="79"/>
      <c r="S3727" s="79"/>
      <c r="V3727" s="79"/>
    </row>
    <row r="3728" spans="7:22" x14ac:dyDescent="0.2">
      <c r="G3728" s="79"/>
      <c r="J3728" s="79"/>
      <c r="M3728" s="104"/>
      <c r="P3728" s="79"/>
      <c r="S3728" s="79"/>
      <c r="V3728" s="79"/>
    </row>
    <row r="3729" spans="7:22" x14ac:dyDescent="0.2">
      <c r="G3729" s="79"/>
      <c r="J3729" s="79"/>
      <c r="M3729" s="104"/>
      <c r="P3729" s="79"/>
      <c r="S3729" s="79"/>
      <c r="V3729" s="79"/>
    </row>
    <row r="3730" spans="7:22" x14ac:dyDescent="0.2">
      <c r="G3730" s="79"/>
      <c r="J3730" s="79"/>
      <c r="M3730" s="104"/>
      <c r="P3730" s="79"/>
      <c r="S3730" s="79"/>
      <c r="V3730" s="79"/>
    </row>
    <row r="3731" spans="7:22" x14ac:dyDescent="0.2">
      <c r="G3731" s="79"/>
      <c r="J3731" s="79"/>
      <c r="M3731" s="104"/>
      <c r="P3731" s="79"/>
      <c r="S3731" s="79"/>
      <c r="V3731" s="79"/>
    </row>
    <row r="3732" spans="7:22" x14ac:dyDescent="0.2">
      <c r="G3732" s="79"/>
      <c r="J3732" s="79"/>
      <c r="M3732" s="104"/>
      <c r="P3732" s="79"/>
      <c r="S3732" s="79"/>
      <c r="V3732" s="79"/>
    </row>
    <row r="3733" spans="7:22" x14ac:dyDescent="0.2">
      <c r="G3733" s="79"/>
      <c r="J3733" s="79"/>
      <c r="M3733" s="104"/>
      <c r="P3733" s="79"/>
      <c r="S3733" s="79"/>
      <c r="V3733" s="79"/>
    </row>
    <row r="3734" spans="7:22" x14ac:dyDescent="0.2">
      <c r="G3734" s="79"/>
      <c r="J3734" s="79"/>
      <c r="M3734" s="104"/>
      <c r="P3734" s="79"/>
      <c r="S3734" s="79"/>
      <c r="V3734" s="79"/>
    </row>
    <row r="3735" spans="7:22" x14ac:dyDescent="0.2">
      <c r="G3735" s="79"/>
      <c r="J3735" s="79"/>
      <c r="M3735" s="104"/>
      <c r="P3735" s="79"/>
      <c r="S3735" s="79"/>
      <c r="V3735" s="79"/>
    </row>
    <row r="3736" spans="7:22" x14ac:dyDescent="0.2">
      <c r="G3736" s="79"/>
      <c r="J3736" s="79"/>
      <c r="M3736" s="104"/>
      <c r="P3736" s="79"/>
      <c r="S3736" s="79"/>
      <c r="V3736" s="79"/>
    </row>
    <row r="3737" spans="7:22" x14ac:dyDescent="0.2">
      <c r="G3737" s="79"/>
      <c r="J3737" s="79"/>
      <c r="M3737" s="104"/>
      <c r="P3737" s="79"/>
      <c r="S3737" s="79"/>
      <c r="V3737" s="79"/>
    </row>
    <row r="3738" spans="7:22" x14ac:dyDescent="0.2">
      <c r="G3738" s="79"/>
      <c r="J3738" s="79"/>
      <c r="M3738" s="104"/>
      <c r="P3738" s="79"/>
      <c r="S3738" s="79"/>
      <c r="V3738" s="79"/>
    </row>
    <row r="3739" spans="7:22" x14ac:dyDescent="0.2">
      <c r="G3739" s="79"/>
      <c r="J3739" s="79"/>
      <c r="M3739" s="104"/>
      <c r="P3739" s="79"/>
      <c r="S3739" s="79"/>
      <c r="V3739" s="79"/>
    </row>
    <row r="3740" spans="7:22" x14ac:dyDescent="0.2">
      <c r="G3740" s="79"/>
      <c r="J3740" s="79"/>
      <c r="M3740" s="104"/>
      <c r="P3740" s="79"/>
      <c r="S3740" s="79"/>
      <c r="V3740" s="79"/>
    </row>
    <row r="3741" spans="7:22" x14ac:dyDescent="0.2">
      <c r="G3741" s="79"/>
      <c r="J3741" s="79"/>
      <c r="M3741" s="104"/>
      <c r="P3741" s="79"/>
      <c r="S3741" s="79"/>
      <c r="V3741" s="79"/>
    </row>
    <row r="3742" spans="7:22" x14ac:dyDescent="0.2">
      <c r="G3742" s="79"/>
      <c r="J3742" s="79"/>
      <c r="M3742" s="104"/>
      <c r="P3742" s="79"/>
      <c r="S3742" s="79"/>
      <c r="V3742" s="79"/>
    </row>
    <row r="3743" spans="7:22" x14ac:dyDescent="0.2">
      <c r="G3743" s="79"/>
      <c r="J3743" s="79"/>
      <c r="M3743" s="104"/>
      <c r="P3743" s="79"/>
      <c r="S3743" s="79"/>
      <c r="V3743" s="79"/>
    </row>
    <row r="3744" spans="7:22" x14ac:dyDescent="0.2">
      <c r="G3744" s="79"/>
      <c r="J3744" s="79"/>
      <c r="M3744" s="104"/>
      <c r="P3744" s="79"/>
      <c r="S3744" s="79"/>
      <c r="V3744" s="79"/>
    </row>
    <row r="3745" spans="7:22" x14ac:dyDescent="0.2">
      <c r="G3745" s="79"/>
      <c r="J3745" s="79"/>
      <c r="M3745" s="104"/>
      <c r="P3745" s="79"/>
      <c r="S3745" s="79"/>
      <c r="V3745" s="79"/>
    </row>
    <row r="3746" spans="7:22" x14ac:dyDescent="0.2">
      <c r="G3746" s="79"/>
      <c r="J3746" s="79"/>
      <c r="M3746" s="104"/>
      <c r="P3746" s="79"/>
      <c r="S3746" s="79"/>
      <c r="V3746" s="79"/>
    </row>
    <row r="3747" spans="7:22" x14ac:dyDescent="0.2">
      <c r="G3747" s="79"/>
      <c r="J3747" s="79"/>
      <c r="M3747" s="104"/>
      <c r="P3747" s="79"/>
      <c r="S3747" s="79"/>
      <c r="V3747" s="79"/>
    </row>
    <row r="3748" spans="7:22" x14ac:dyDescent="0.2">
      <c r="G3748" s="79"/>
      <c r="J3748" s="79"/>
      <c r="M3748" s="104"/>
      <c r="P3748" s="79"/>
      <c r="S3748" s="79"/>
      <c r="V3748" s="79"/>
    </row>
    <row r="3749" spans="7:22" x14ac:dyDescent="0.2">
      <c r="G3749" s="79"/>
      <c r="J3749" s="79"/>
      <c r="M3749" s="104"/>
      <c r="P3749" s="79"/>
      <c r="S3749" s="79"/>
      <c r="V3749" s="79"/>
    </row>
    <row r="3750" spans="7:22" x14ac:dyDescent="0.2">
      <c r="G3750" s="79"/>
      <c r="J3750" s="79"/>
      <c r="M3750" s="104"/>
      <c r="P3750" s="79"/>
      <c r="S3750" s="79"/>
      <c r="V3750" s="79"/>
    </row>
    <row r="3751" spans="7:22" x14ac:dyDescent="0.2">
      <c r="G3751" s="79"/>
      <c r="J3751" s="79"/>
      <c r="M3751" s="104"/>
      <c r="P3751" s="79"/>
      <c r="S3751" s="79"/>
      <c r="V3751" s="79"/>
    </row>
    <row r="3752" spans="7:22" x14ac:dyDescent="0.2">
      <c r="G3752" s="79"/>
      <c r="J3752" s="79"/>
      <c r="M3752" s="104"/>
      <c r="P3752" s="79"/>
      <c r="S3752" s="79"/>
      <c r="V3752" s="79"/>
    </row>
    <row r="3753" spans="7:22" x14ac:dyDescent="0.2">
      <c r="G3753" s="79"/>
      <c r="J3753" s="79"/>
      <c r="M3753" s="104"/>
      <c r="P3753" s="79"/>
      <c r="S3753" s="79"/>
      <c r="V3753" s="79"/>
    </row>
    <row r="3754" spans="7:22" x14ac:dyDescent="0.2">
      <c r="G3754" s="79"/>
      <c r="J3754" s="79"/>
      <c r="M3754" s="104"/>
      <c r="P3754" s="79"/>
      <c r="S3754" s="79"/>
      <c r="V3754" s="79"/>
    </row>
    <row r="3755" spans="7:22" x14ac:dyDescent="0.2">
      <c r="G3755" s="79"/>
      <c r="J3755" s="79"/>
      <c r="M3755" s="104"/>
      <c r="P3755" s="79"/>
      <c r="S3755" s="79"/>
      <c r="V3755" s="79"/>
    </row>
    <row r="3756" spans="7:22" x14ac:dyDescent="0.2">
      <c r="G3756" s="79"/>
      <c r="J3756" s="79"/>
      <c r="M3756" s="104"/>
      <c r="P3756" s="79"/>
      <c r="S3756" s="79"/>
      <c r="V3756" s="79"/>
    </row>
    <row r="3757" spans="7:22" x14ac:dyDescent="0.2">
      <c r="G3757" s="79"/>
      <c r="J3757" s="79"/>
      <c r="M3757" s="104"/>
      <c r="P3757" s="79"/>
      <c r="S3757" s="79"/>
      <c r="V3757" s="79"/>
    </row>
    <row r="3758" spans="7:22" x14ac:dyDescent="0.2">
      <c r="G3758" s="79"/>
      <c r="J3758" s="79"/>
      <c r="M3758" s="104"/>
      <c r="P3758" s="79"/>
      <c r="S3758" s="79"/>
      <c r="V3758" s="79"/>
    </row>
    <row r="3759" spans="7:22" x14ac:dyDescent="0.2">
      <c r="G3759" s="79"/>
      <c r="J3759" s="79"/>
      <c r="M3759" s="104"/>
      <c r="P3759" s="79"/>
      <c r="S3759" s="79"/>
      <c r="V3759" s="79"/>
    </row>
    <row r="3760" spans="7:22" x14ac:dyDescent="0.2">
      <c r="G3760" s="79"/>
      <c r="J3760" s="79"/>
      <c r="M3760" s="104"/>
      <c r="P3760" s="79"/>
      <c r="S3760" s="79"/>
      <c r="V3760" s="79"/>
    </row>
    <row r="3761" spans="7:22" x14ac:dyDescent="0.2">
      <c r="G3761" s="79"/>
      <c r="J3761" s="79"/>
      <c r="M3761" s="104"/>
      <c r="P3761" s="79"/>
      <c r="S3761" s="79"/>
      <c r="V3761" s="79"/>
    </row>
    <row r="3762" spans="7:22" x14ac:dyDescent="0.2">
      <c r="G3762" s="79"/>
      <c r="J3762" s="79"/>
      <c r="M3762" s="104"/>
      <c r="P3762" s="79"/>
      <c r="S3762" s="79"/>
      <c r="V3762" s="79"/>
    </row>
    <row r="3763" spans="7:22" x14ac:dyDescent="0.2">
      <c r="G3763" s="79"/>
      <c r="J3763" s="79"/>
      <c r="M3763" s="104"/>
      <c r="P3763" s="79"/>
      <c r="S3763" s="79"/>
      <c r="V3763" s="79"/>
    </row>
    <row r="3764" spans="7:22" x14ac:dyDescent="0.2">
      <c r="G3764" s="79"/>
      <c r="J3764" s="79"/>
      <c r="M3764" s="104"/>
      <c r="P3764" s="79"/>
      <c r="S3764" s="79"/>
      <c r="V3764" s="79"/>
    </row>
    <row r="3765" spans="7:22" x14ac:dyDescent="0.2">
      <c r="G3765" s="79"/>
      <c r="J3765" s="79"/>
      <c r="M3765" s="104"/>
      <c r="P3765" s="79"/>
      <c r="S3765" s="79"/>
      <c r="V3765" s="79"/>
    </row>
    <row r="3766" spans="7:22" x14ac:dyDescent="0.2">
      <c r="G3766" s="79"/>
      <c r="J3766" s="79"/>
      <c r="M3766" s="104"/>
      <c r="P3766" s="79"/>
      <c r="S3766" s="79"/>
      <c r="V3766" s="79"/>
    </row>
    <row r="3767" spans="7:22" x14ac:dyDescent="0.2">
      <c r="G3767" s="79"/>
      <c r="J3767" s="79"/>
      <c r="M3767" s="104"/>
      <c r="P3767" s="79"/>
      <c r="S3767" s="79"/>
      <c r="V3767" s="79"/>
    </row>
    <row r="3768" spans="7:22" x14ac:dyDescent="0.2">
      <c r="G3768" s="79"/>
      <c r="J3768" s="79"/>
      <c r="M3768" s="104"/>
      <c r="P3768" s="79"/>
      <c r="S3768" s="79"/>
      <c r="V3768" s="79"/>
    </row>
    <row r="3769" spans="7:22" x14ac:dyDescent="0.2">
      <c r="G3769" s="79"/>
      <c r="J3769" s="79"/>
      <c r="M3769" s="104"/>
      <c r="P3769" s="79"/>
      <c r="S3769" s="79"/>
      <c r="V3769" s="79"/>
    </row>
    <row r="3770" spans="7:22" x14ac:dyDescent="0.2">
      <c r="G3770" s="79"/>
      <c r="J3770" s="79"/>
      <c r="M3770" s="104"/>
      <c r="P3770" s="79"/>
      <c r="S3770" s="79"/>
      <c r="V3770" s="79"/>
    </row>
    <row r="3771" spans="7:22" x14ac:dyDescent="0.2">
      <c r="G3771" s="79"/>
      <c r="J3771" s="79"/>
      <c r="M3771" s="104"/>
      <c r="P3771" s="79"/>
      <c r="S3771" s="79"/>
      <c r="V3771" s="79"/>
    </row>
    <row r="3772" spans="7:22" x14ac:dyDescent="0.2">
      <c r="G3772" s="79"/>
      <c r="J3772" s="79"/>
      <c r="M3772" s="104"/>
      <c r="P3772" s="79"/>
      <c r="S3772" s="79"/>
      <c r="V3772" s="79"/>
    </row>
    <row r="3773" spans="7:22" x14ac:dyDescent="0.2">
      <c r="G3773" s="79"/>
      <c r="J3773" s="79"/>
      <c r="M3773" s="104"/>
      <c r="P3773" s="79"/>
      <c r="S3773" s="79"/>
      <c r="V3773" s="79"/>
    </row>
    <row r="3774" spans="7:22" x14ac:dyDescent="0.2">
      <c r="G3774" s="79"/>
      <c r="J3774" s="79"/>
      <c r="M3774" s="104"/>
      <c r="P3774" s="79"/>
      <c r="S3774" s="79"/>
      <c r="V3774" s="79"/>
    </row>
    <row r="3775" spans="7:22" x14ac:dyDescent="0.2">
      <c r="G3775" s="79"/>
      <c r="J3775" s="79"/>
      <c r="M3775" s="104"/>
      <c r="P3775" s="79"/>
      <c r="S3775" s="79"/>
      <c r="V3775" s="79"/>
    </row>
    <row r="3776" spans="7:22" x14ac:dyDescent="0.2">
      <c r="G3776" s="79"/>
      <c r="J3776" s="79"/>
      <c r="M3776" s="104"/>
      <c r="P3776" s="79"/>
      <c r="S3776" s="79"/>
      <c r="V3776" s="79"/>
    </row>
    <row r="3777" spans="7:22" x14ac:dyDescent="0.2">
      <c r="G3777" s="79"/>
      <c r="J3777" s="79"/>
      <c r="M3777" s="104"/>
      <c r="P3777" s="79"/>
      <c r="S3777" s="79"/>
      <c r="V3777" s="79"/>
    </row>
    <row r="3778" spans="7:22" x14ac:dyDescent="0.2">
      <c r="G3778" s="79"/>
      <c r="J3778" s="79"/>
      <c r="M3778" s="104"/>
      <c r="P3778" s="79"/>
      <c r="S3778" s="79"/>
      <c r="V3778" s="79"/>
    </row>
    <row r="3779" spans="7:22" x14ac:dyDescent="0.2">
      <c r="G3779" s="79"/>
      <c r="J3779" s="79"/>
      <c r="M3779" s="104"/>
      <c r="P3779" s="79"/>
      <c r="S3779" s="79"/>
      <c r="V3779" s="79"/>
    </row>
    <row r="3780" spans="7:22" x14ac:dyDescent="0.2">
      <c r="G3780" s="79"/>
      <c r="J3780" s="79"/>
      <c r="M3780" s="104"/>
      <c r="P3780" s="79"/>
      <c r="S3780" s="79"/>
      <c r="V3780" s="79"/>
    </row>
    <row r="3781" spans="7:22" x14ac:dyDescent="0.2">
      <c r="G3781" s="79"/>
      <c r="J3781" s="79"/>
      <c r="M3781" s="104"/>
      <c r="P3781" s="79"/>
      <c r="S3781" s="79"/>
      <c r="V3781" s="79"/>
    </row>
    <row r="3782" spans="7:22" x14ac:dyDescent="0.2">
      <c r="G3782" s="79"/>
      <c r="J3782" s="79"/>
      <c r="M3782" s="104"/>
      <c r="P3782" s="79"/>
      <c r="S3782" s="79"/>
      <c r="V3782" s="79"/>
    </row>
    <row r="3783" spans="7:22" x14ac:dyDescent="0.2">
      <c r="G3783" s="79"/>
      <c r="J3783" s="79"/>
      <c r="M3783" s="104"/>
      <c r="P3783" s="79"/>
      <c r="S3783" s="79"/>
      <c r="V3783" s="79"/>
    </row>
    <row r="3784" spans="7:22" x14ac:dyDescent="0.2">
      <c r="G3784" s="79"/>
      <c r="J3784" s="79"/>
      <c r="M3784" s="104"/>
      <c r="P3784" s="79"/>
      <c r="S3784" s="79"/>
      <c r="V3784" s="79"/>
    </row>
    <row r="3785" spans="7:22" x14ac:dyDescent="0.2">
      <c r="G3785" s="79"/>
      <c r="J3785" s="79"/>
      <c r="M3785" s="104"/>
      <c r="P3785" s="79"/>
      <c r="S3785" s="79"/>
      <c r="V3785" s="79"/>
    </row>
    <row r="3786" spans="7:22" x14ac:dyDescent="0.2">
      <c r="G3786" s="79"/>
      <c r="J3786" s="79"/>
      <c r="M3786" s="104"/>
      <c r="P3786" s="79"/>
      <c r="S3786" s="79"/>
      <c r="V3786" s="79"/>
    </row>
    <row r="3787" spans="7:22" x14ac:dyDescent="0.2">
      <c r="G3787" s="79"/>
      <c r="J3787" s="79"/>
      <c r="M3787" s="104"/>
      <c r="P3787" s="79"/>
      <c r="S3787" s="79"/>
      <c r="V3787" s="79"/>
    </row>
    <row r="3788" spans="7:22" x14ac:dyDescent="0.2">
      <c r="G3788" s="79"/>
      <c r="J3788" s="79"/>
      <c r="M3788" s="104"/>
      <c r="P3788" s="79"/>
      <c r="S3788" s="79"/>
      <c r="V3788" s="79"/>
    </row>
    <row r="3789" spans="7:22" x14ac:dyDescent="0.2">
      <c r="G3789" s="79"/>
      <c r="J3789" s="79"/>
      <c r="M3789" s="104"/>
      <c r="P3789" s="79"/>
      <c r="S3789" s="79"/>
      <c r="V3789" s="79"/>
    </row>
    <row r="3790" spans="7:22" x14ac:dyDescent="0.2">
      <c r="G3790" s="79"/>
      <c r="J3790" s="79"/>
      <c r="M3790" s="104"/>
      <c r="P3790" s="79"/>
      <c r="S3790" s="79"/>
      <c r="V3790" s="79"/>
    </row>
    <row r="3791" spans="7:22" x14ac:dyDescent="0.2">
      <c r="G3791" s="79"/>
      <c r="J3791" s="79"/>
      <c r="M3791" s="104"/>
      <c r="P3791" s="79"/>
      <c r="S3791" s="79"/>
      <c r="V3791" s="79"/>
    </row>
    <row r="3792" spans="7:22" x14ac:dyDescent="0.2">
      <c r="G3792" s="79"/>
      <c r="J3792" s="79"/>
      <c r="M3792" s="104"/>
      <c r="P3792" s="79"/>
      <c r="S3792" s="79"/>
      <c r="V3792" s="79"/>
    </row>
    <row r="3793" spans="7:22" x14ac:dyDescent="0.2">
      <c r="G3793" s="79"/>
      <c r="J3793" s="79"/>
      <c r="M3793" s="104"/>
      <c r="P3793" s="79"/>
      <c r="S3793" s="79"/>
      <c r="V3793" s="79"/>
    </row>
    <row r="3794" spans="7:22" x14ac:dyDescent="0.2">
      <c r="G3794" s="79"/>
      <c r="J3794" s="79"/>
      <c r="M3794" s="104"/>
      <c r="P3794" s="79"/>
      <c r="S3794" s="79"/>
      <c r="V3794" s="79"/>
    </row>
    <row r="3795" spans="7:22" x14ac:dyDescent="0.2">
      <c r="G3795" s="79"/>
      <c r="J3795" s="79"/>
      <c r="M3795" s="104"/>
      <c r="P3795" s="79"/>
      <c r="S3795" s="79"/>
      <c r="V3795" s="79"/>
    </row>
    <row r="3796" spans="7:22" x14ac:dyDescent="0.2">
      <c r="G3796" s="79"/>
      <c r="J3796" s="79"/>
      <c r="M3796" s="104"/>
      <c r="P3796" s="79"/>
      <c r="S3796" s="79"/>
      <c r="V3796" s="79"/>
    </row>
    <row r="3797" spans="7:22" x14ac:dyDescent="0.2">
      <c r="G3797" s="79"/>
      <c r="J3797" s="79"/>
      <c r="M3797" s="104"/>
      <c r="P3797" s="79"/>
      <c r="S3797" s="79"/>
      <c r="V3797" s="79"/>
    </row>
    <row r="3798" spans="7:22" x14ac:dyDescent="0.2">
      <c r="G3798" s="79"/>
      <c r="J3798" s="79"/>
      <c r="M3798" s="104"/>
      <c r="P3798" s="79"/>
      <c r="S3798" s="79"/>
      <c r="V3798" s="79"/>
    </row>
    <row r="3799" spans="7:22" x14ac:dyDescent="0.2">
      <c r="G3799" s="79"/>
      <c r="J3799" s="79"/>
      <c r="M3799" s="104"/>
      <c r="P3799" s="79"/>
      <c r="S3799" s="79"/>
      <c r="V3799" s="79"/>
    </row>
    <row r="3800" spans="7:22" x14ac:dyDescent="0.2">
      <c r="G3800" s="79"/>
      <c r="J3800" s="79"/>
      <c r="M3800" s="104"/>
      <c r="P3800" s="79"/>
      <c r="S3800" s="79"/>
      <c r="V3800" s="79"/>
    </row>
    <row r="3801" spans="7:22" x14ac:dyDescent="0.2">
      <c r="G3801" s="79"/>
      <c r="J3801" s="79"/>
      <c r="M3801" s="104"/>
      <c r="P3801" s="79"/>
      <c r="S3801" s="79"/>
      <c r="V3801" s="79"/>
    </row>
    <row r="3802" spans="7:22" x14ac:dyDescent="0.2">
      <c r="G3802" s="79"/>
      <c r="J3802" s="79"/>
      <c r="M3802" s="104"/>
      <c r="P3802" s="79"/>
      <c r="S3802" s="79"/>
      <c r="V3802" s="79"/>
    </row>
    <row r="3803" spans="7:22" x14ac:dyDescent="0.2">
      <c r="G3803" s="79"/>
      <c r="J3803" s="79"/>
      <c r="M3803" s="104"/>
      <c r="P3803" s="79"/>
      <c r="S3803" s="79"/>
      <c r="V3803" s="79"/>
    </row>
    <row r="3804" spans="7:22" x14ac:dyDescent="0.2">
      <c r="G3804" s="79"/>
      <c r="J3804" s="79"/>
      <c r="M3804" s="104"/>
      <c r="P3804" s="79"/>
      <c r="S3804" s="79"/>
      <c r="V3804" s="79"/>
    </row>
    <row r="3805" spans="7:22" x14ac:dyDescent="0.2">
      <c r="G3805" s="79"/>
      <c r="J3805" s="79"/>
      <c r="M3805" s="104"/>
      <c r="P3805" s="79"/>
      <c r="S3805" s="79"/>
      <c r="V3805" s="79"/>
    </row>
    <row r="3806" spans="7:22" x14ac:dyDescent="0.2">
      <c r="G3806" s="79"/>
      <c r="J3806" s="79"/>
      <c r="M3806" s="104"/>
      <c r="P3806" s="79"/>
      <c r="S3806" s="79"/>
      <c r="V3806" s="79"/>
    </row>
    <row r="3807" spans="7:22" x14ac:dyDescent="0.2">
      <c r="G3807" s="79"/>
      <c r="J3807" s="79"/>
      <c r="M3807" s="104"/>
      <c r="P3807" s="79"/>
      <c r="S3807" s="79"/>
      <c r="V3807" s="79"/>
    </row>
    <row r="3808" spans="7:22" x14ac:dyDescent="0.2">
      <c r="G3808" s="79"/>
      <c r="J3808" s="79"/>
      <c r="M3808" s="104"/>
      <c r="P3808" s="79"/>
      <c r="S3808" s="79"/>
      <c r="V3808" s="79"/>
    </row>
    <row r="3809" spans="7:22" x14ac:dyDescent="0.2">
      <c r="G3809" s="79"/>
      <c r="J3809" s="79"/>
      <c r="M3809" s="104"/>
      <c r="P3809" s="79"/>
      <c r="S3809" s="79"/>
      <c r="V3809" s="79"/>
    </row>
    <row r="3810" spans="7:22" x14ac:dyDescent="0.2">
      <c r="G3810" s="79"/>
      <c r="J3810" s="79"/>
      <c r="M3810" s="104"/>
      <c r="P3810" s="79"/>
      <c r="S3810" s="79"/>
      <c r="V3810" s="79"/>
    </row>
    <row r="3811" spans="7:22" x14ac:dyDescent="0.2">
      <c r="G3811" s="79"/>
      <c r="J3811" s="79"/>
      <c r="M3811" s="104"/>
      <c r="P3811" s="79"/>
      <c r="S3811" s="79"/>
      <c r="V3811" s="79"/>
    </row>
    <row r="3812" spans="7:22" x14ac:dyDescent="0.2">
      <c r="G3812" s="79"/>
      <c r="J3812" s="79"/>
      <c r="M3812" s="104"/>
      <c r="P3812" s="79"/>
      <c r="S3812" s="79"/>
      <c r="V3812" s="79"/>
    </row>
    <row r="3813" spans="7:22" x14ac:dyDescent="0.2">
      <c r="G3813" s="79"/>
      <c r="J3813" s="79"/>
      <c r="M3813" s="104"/>
      <c r="P3813" s="79"/>
      <c r="S3813" s="79"/>
      <c r="V3813" s="79"/>
    </row>
    <row r="3814" spans="7:22" x14ac:dyDescent="0.2">
      <c r="G3814" s="79"/>
      <c r="J3814" s="79"/>
      <c r="M3814" s="104"/>
      <c r="P3814" s="79"/>
      <c r="S3814" s="79"/>
      <c r="V3814" s="79"/>
    </row>
    <row r="3815" spans="7:22" x14ac:dyDescent="0.2">
      <c r="G3815" s="79"/>
      <c r="J3815" s="79"/>
      <c r="M3815" s="104"/>
      <c r="P3815" s="79"/>
      <c r="S3815" s="79"/>
      <c r="V3815" s="79"/>
    </row>
    <row r="3816" spans="7:22" x14ac:dyDescent="0.2">
      <c r="G3816" s="79"/>
      <c r="J3816" s="79"/>
      <c r="M3816" s="104"/>
      <c r="P3816" s="79"/>
      <c r="S3816" s="79"/>
      <c r="V3816" s="79"/>
    </row>
    <row r="3817" spans="7:22" x14ac:dyDescent="0.2">
      <c r="G3817" s="79"/>
      <c r="J3817" s="79"/>
      <c r="M3817" s="104"/>
      <c r="P3817" s="79"/>
      <c r="S3817" s="79"/>
      <c r="V3817" s="79"/>
    </row>
    <row r="3818" spans="7:22" x14ac:dyDescent="0.2">
      <c r="G3818" s="79"/>
      <c r="J3818" s="79"/>
      <c r="M3818" s="104"/>
      <c r="P3818" s="79"/>
      <c r="S3818" s="79"/>
      <c r="V3818" s="79"/>
    </row>
    <row r="3819" spans="7:22" x14ac:dyDescent="0.2">
      <c r="G3819" s="79"/>
      <c r="J3819" s="79"/>
      <c r="M3819" s="104"/>
      <c r="P3819" s="79"/>
      <c r="S3819" s="79"/>
      <c r="V3819" s="79"/>
    </row>
    <row r="3820" spans="7:22" x14ac:dyDescent="0.2">
      <c r="G3820" s="79"/>
      <c r="J3820" s="79"/>
      <c r="M3820" s="104"/>
      <c r="P3820" s="79"/>
      <c r="S3820" s="79"/>
      <c r="V3820" s="79"/>
    </row>
    <row r="3821" spans="7:22" x14ac:dyDescent="0.2">
      <c r="G3821" s="79"/>
      <c r="J3821" s="79"/>
      <c r="M3821" s="104"/>
      <c r="P3821" s="79"/>
      <c r="S3821" s="79"/>
      <c r="V3821" s="79"/>
    </row>
    <row r="3822" spans="7:22" x14ac:dyDescent="0.2">
      <c r="G3822" s="79"/>
      <c r="J3822" s="79"/>
      <c r="M3822" s="104"/>
      <c r="P3822" s="79"/>
      <c r="S3822" s="79"/>
      <c r="V3822" s="79"/>
    </row>
    <row r="3823" spans="7:22" x14ac:dyDescent="0.2">
      <c r="G3823" s="79"/>
      <c r="J3823" s="79"/>
      <c r="M3823" s="104"/>
      <c r="P3823" s="79"/>
      <c r="S3823" s="79"/>
      <c r="V3823" s="79"/>
    </row>
    <row r="3824" spans="7:22" x14ac:dyDescent="0.2">
      <c r="G3824" s="79"/>
      <c r="J3824" s="79"/>
      <c r="M3824" s="104"/>
      <c r="P3824" s="79"/>
      <c r="S3824" s="79"/>
      <c r="V3824" s="79"/>
    </row>
    <row r="3825" spans="7:22" x14ac:dyDescent="0.2">
      <c r="G3825" s="79"/>
      <c r="J3825" s="79"/>
      <c r="M3825" s="104"/>
      <c r="P3825" s="79"/>
      <c r="S3825" s="79"/>
      <c r="V3825" s="79"/>
    </row>
    <row r="3826" spans="7:22" x14ac:dyDescent="0.2">
      <c r="G3826" s="79"/>
      <c r="J3826" s="79"/>
      <c r="M3826" s="104"/>
      <c r="P3826" s="79"/>
      <c r="S3826" s="79"/>
      <c r="V3826" s="79"/>
    </row>
    <row r="3827" spans="7:22" x14ac:dyDescent="0.2">
      <c r="G3827" s="79"/>
      <c r="J3827" s="79"/>
      <c r="M3827" s="104"/>
      <c r="P3827" s="79"/>
      <c r="S3827" s="79"/>
      <c r="V3827" s="79"/>
    </row>
    <row r="3828" spans="7:22" x14ac:dyDescent="0.2">
      <c r="G3828" s="79"/>
      <c r="J3828" s="79"/>
      <c r="M3828" s="104"/>
      <c r="P3828" s="79"/>
      <c r="S3828" s="79"/>
      <c r="V3828" s="79"/>
    </row>
    <row r="3829" spans="7:22" x14ac:dyDescent="0.2">
      <c r="G3829" s="79"/>
      <c r="J3829" s="79"/>
      <c r="M3829" s="104"/>
      <c r="P3829" s="79"/>
      <c r="S3829" s="79"/>
      <c r="V3829" s="79"/>
    </row>
    <row r="3830" spans="7:22" x14ac:dyDescent="0.2">
      <c r="G3830" s="79"/>
      <c r="J3830" s="79"/>
      <c r="M3830" s="104"/>
      <c r="P3830" s="79"/>
      <c r="S3830" s="79"/>
      <c r="V3830" s="79"/>
    </row>
    <row r="3831" spans="7:22" x14ac:dyDescent="0.2">
      <c r="G3831" s="79"/>
      <c r="J3831" s="79"/>
      <c r="M3831" s="104"/>
      <c r="P3831" s="79"/>
      <c r="S3831" s="79"/>
      <c r="V3831" s="79"/>
    </row>
    <row r="3832" spans="7:22" x14ac:dyDescent="0.2">
      <c r="G3832" s="79"/>
      <c r="J3832" s="79"/>
      <c r="M3832" s="104"/>
      <c r="P3832" s="79"/>
      <c r="S3832" s="79"/>
      <c r="V3832" s="79"/>
    </row>
    <row r="3833" spans="7:22" x14ac:dyDescent="0.2">
      <c r="G3833" s="79"/>
      <c r="J3833" s="79"/>
      <c r="M3833" s="104"/>
      <c r="P3833" s="79"/>
      <c r="S3833" s="79"/>
      <c r="V3833" s="79"/>
    </row>
    <row r="3834" spans="7:22" x14ac:dyDescent="0.2">
      <c r="G3834" s="79"/>
      <c r="J3834" s="79"/>
      <c r="M3834" s="104"/>
      <c r="P3834" s="79"/>
      <c r="S3834" s="79"/>
      <c r="V3834" s="79"/>
    </row>
    <row r="3835" spans="7:22" x14ac:dyDescent="0.2">
      <c r="G3835" s="79"/>
      <c r="J3835" s="79"/>
      <c r="M3835" s="104"/>
      <c r="P3835" s="79"/>
      <c r="S3835" s="79"/>
      <c r="V3835" s="79"/>
    </row>
    <row r="3836" spans="7:22" x14ac:dyDescent="0.2">
      <c r="G3836" s="79"/>
      <c r="J3836" s="79"/>
      <c r="M3836" s="104"/>
      <c r="P3836" s="79"/>
      <c r="S3836" s="79"/>
      <c r="V3836" s="79"/>
    </row>
    <row r="3837" spans="7:22" x14ac:dyDescent="0.2">
      <c r="G3837" s="79"/>
      <c r="J3837" s="79"/>
      <c r="M3837" s="104"/>
      <c r="P3837" s="79"/>
      <c r="S3837" s="79"/>
      <c r="V3837" s="79"/>
    </row>
    <row r="3838" spans="7:22" x14ac:dyDescent="0.2">
      <c r="G3838" s="79"/>
      <c r="J3838" s="79"/>
      <c r="M3838" s="104"/>
      <c r="P3838" s="79"/>
      <c r="S3838" s="79"/>
      <c r="V3838" s="79"/>
    </row>
    <row r="3839" spans="7:22" x14ac:dyDescent="0.2">
      <c r="G3839" s="79"/>
      <c r="J3839" s="79"/>
      <c r="M3839" s="104"/>
      <c r="P3839" s="79"/>
      <c r="S3839" s="79"/>
      <c r="V3839" s="79"/>
    </row>
    <row r="3840" spans="7:22" x14ac:dyDescent="0.2">
      <c r="G3840" s="79"/>
      <c r="J3840" s="79"/>
      <c r="M3840" s="104"/>
      <c r="P3840" s="79"/>
      <c r="S3840" s="79"/>
      <c r="V3840" s="79"/>
    </row>
    <row r="3841" spans="7:22" x14ac:dyDescent="0.2">
      <c r="G3841" s="79"/>
      <c r="J3841" s="79"/>
      <c r="M3841" s="104"/>
      <c r="P3841" s="79"/>
      <c r="S3841" s="79"/>
      <c r="V3841" s="79"/>
    </row>
    <row r="3842" spans="7:22" x14ac:dyDescent="0.2">
      <c r="G3842" s="79"/>
      <c r="J3842" s="79"/>
      <c r="M3842" s="104"/>
      <c r="P3842" s="79"/>
      <c r="S3842" s="79"/>
      <c r="V3842" s="79"/>
    </row>
    <row r="3843" spans="7:22" x14ac:dyDescent="0.2">
      <c r="G3843" s="79"/>
      <c r="J3843" s="79"/>
      <c r="M3843" s="104"/>
      <c r="P3843" s="79"/>
      <c r="S3843" s="79"/>
      <c r="V3843" s="79"/>
    </row>
    <row r="3844" spans="7:22" x14ac:dyDescent="0.2">
      <c r="G3844" s="79"/>
      <c r="J3844" s="79"/>
      <c r="M3844" s="104"/>
      <c r="P3844" s="79"/>
      <c r="S3844" s="79"/>
      <c r="V3844" s="79"/>
    </row>
    <row r="3845" spans="7:22" x14ac:dyDescent="0.2">
      <c r="G3845" s="79"/>
      <c r="J3845" s="79"/>
      <c r="M3845" s="104"/>
      <c r="P3845" s="79"/>
      <c r="S3845" s="79"/>
      <c r="V3845" s="79"/>
    </row>
    <row r="3846" spans="7:22" x14ac:dyDescent="0.2">
      <c r="G3846" s="79"/>
      <c r="J3846" s="79"/>
      <c r="M3846" s="104"/>
      <c r="P3846" s="79"/>
      <c r="S3846" s="79"/>
      <c r="V3846" s="79"/>
    </row>
    <row r="3847" spans="7:22" x14ac:dyDescent="0.2">
      <c r="G3847" s="79"/>
      <c r="J3847" s="79"/>
      <c r="M3847" s="104"/>
      <c r="P3847" s="79"/>
      <c r="S3847" s="79"/>
      <c r="V3847" s="79"/>
    </row>
    <row r="3848" spans="7:22" x14ac:dyDescent="0.2">
      <c r="G3848" s="79"/>
      <c r="J3848" s="79"/>
      <c r="M3848" s="104"/>
      <c r="P3848" s="79"/>
      <c r="S3848" s="79"/>
      <c r="V3848" s="79"/>
    </row>
    <row r="3849" spans="7:22" x14ac:dyDescent="0.2">
      <c r="G3849" s="79"/>
      <c r="J3849" s="79"/>
      <c r="M3849" s="104"/>
      <c r="P3849" s="79"/>
      <c r="S3849" s="79"/>
      <c r="V3849" s="79"/>
    </row>
    <row r="3850" spans="7:22" x14ac:dyDescent="0.2">
      <c r="G3850" s="79"/>
      <c r="J3850" s="79"/>
      <c r="M3850" s="104"/>
      <c r="P3850" s="79"/>
      <c r="S3850" s="79"/>
      <c r="V3850" s="79"/>
    </row>
    <row r="3851" spans="7:22" x14ac:dyDescent="0.2">
      <c r="G3851" s="79"/>
      <c r="J3851" s="79"/>
      <c r="M3851" s="104"/>
      <c r="P3851" s="79"/>
      <c r="S3851" s="79"/>
      <c r="V3851" s="79"/>
    </row>
    <row r="3852" spans="7:22" x14ac:dyDescent="0.2">
      <c r="G3852" s="79"/>
      <c r="J3852" s="79"/>
      <c r="M3852" s="104"/>
      <c r="P3852" s="79"/>
      <c r="S3852" s="79"/>
      <c r="V3852" s="79"/>
    </row>
    <row r="3853" spans="7:22" x14ac:dyDescent="0.2">
      <c r="G3853" s="79"/>
      <c r="J3853" s="79"/>
      <c r="M3853" s="104"/>
      <c r="P3853" s="79"/>
      <c r="S3853" s="79"/>
      <c r="V3853" s="79"/>
    </row>
    <row r="3854" spans="7:22" x14ac:dyDescent="0.2">
      <c r="G3854" s="79"/>
      <c r="J3854" s="79"/>
      <c r="M3854" s="104"/>
      <c r="P3854" s="79"/>
      <c r="S3854" s="79"/>
      <c r="V3854" s="79"/>
    </row>
    <row r="3855" spans="7:22" x14ac:dyDescent="0.2">
      <c r="G3855" s="79"/>
      <c r="J3855" s="79"/>
      <c r="M3855" s="104"/>
      <c r="P3855" s="79"/>
      <c r="S3855" s="79"/>
      <c r="V3855" s="79"/>
    </row>
    <row r="3856" spans="7:22" x14ac:dyDescent="0.2">
      <c r="G3856" s="79"/>
      <c r="J3856" s="79"/>
      <c r="M3856" s="104"/>
      <c r="P3856" s="79"/>
      <c r="S3856" s="79"/>
      <c r="V3856" s="79"/>
    </row>
    <row r="3857" spans="7:22" x14ac:dyDescent="0.2">
      <c r="G3857" s="79"/>
      <c r="J3857" s="79"/>
      <c r="M3857" s="104"/>
      <c r="P3857" s="79"/>
      <c r="S3857" s="79"/>
      <c r="V3857" s="79"/>
    </row>
    <row r="3858" spans="7:22" x14ac:dyDescent="0.2">
      <c r="G3858" s="79"/>
      <c r="J3858" s="79"/>
      <c r="M3858" s="104"/>
      <c r="P3858" s="79"/>
      <c r="S3858" s="79"/>
      <c r="V3858" s="79"/>
    </row>
    <row r="3859" spans="7:22" x14ac:dyDescent="0.2">
      <c r="G3859" s="79"/>
      <c r="J3859" s="79"/>
      <c r="M3859" s="104"/>
      <c r="P3859" s="79"/>
      <c r="S3859" s="79"/>
      <c r="V3859" s="79"/>
    </row>
    <row r="3860" spans="7:22" x14ac:dyDescent="0.2">
      <c r="G3860" s="79"/>
      <c r="J3860" s="79"/>
      <c r="M3860" s="104"/>
      <c r="P3860" s="79"/>
      <c r="S3860" s="79"/>
      <c r="V3860" s="79"/>
    </row>
    <row r="3861" spans="7:22" x14ac:dyDescent="0.2">
      <c r="G3861" s="79"/>
      <c r="J3861" s="79"/>
      <c r="M3861" s="104"/>
      <c r="P3861" s="79"/>
      <c r="S3861" s="79"/>
      <c r="V3861" s="79"/>
    </row>
    <row r="3862" spans="7:22" x14ac:dyDescent="0.2">
      <c r="G3862" s="79"/>
      <c r="J3862" s="79"/>
      <c r="M3862" s="104"/>
      <c r="P3862" s="79"/>
      <c r="S3862" s="79"/>
      <c r="V3862" s="79"/>
    </row>
    <row r="3863" spans="7:22" x14ac:dyDescent="0.2">
      <c r="G3863" s="79"/>
      <c r="J3863" s="79"/>
      <c r="M3863" s="104"/>
      <c r="P3863" s="79"/>
      <c r="S3863" s="79"/>
      <c r="V3863" s="79"/>
    </row>
    <row r="3864" spans="7:22" x14ac:dyDescent="0.2">
      <c r="G3864" s="79"/>
      <c r="J3864" s="79"/>
      <c r="M3864" s="104"/>
      <c r="P3864" s="79"/>
      <c r="S3864" s="79"/>
      <c r="V3864" s="79"/>
    </row>
    <row r="3865" spans="7:22" x14ac:dyDescent="0.2">
      <c r="G3865" s="79"/>
      <c r="J3865" s="79"/>
      <c r="M3865" s="104"/>
      <c r="P3865" s="79"/>
      <c r="S3865" s="79"/>
      <c r="V3865" s="79"/>
    </row>
    <row r="3866" spans="7:22" x14ac:dyDescent="0.2">
      <c r="G3866" s="79"/>
      <c r="J3866" s="79"/>
      <c r="M3866" s="104"/>
      <c r="P3866" s="79"/>
      <c r="S3866" s="79"/>
      <c r="V3866" s="79"/>
    </row>
    <row r="3867" spans="7:22" x14ac:dyDescent="0.2">
      <c r="G3867" s="79"/>
      <c r="J3867" s="79"/>
      <c r="M3867" s="104"/>
      <c r="P3867" s="79"/>
      <c r="S3867" s="79"/>
      <c r="V3867" s="79"/>
    </row>
    <row r="3868" spans="7:22" x14ac:dyDescent="0.2">
      <c r="G3868" s="79"/>
      <c r="J3868" s="79"/>
      <c r="M3868" s="104"/>
      <c r="P3868" s="79"/>
      <c r="S3868" s="79"/>
      <c r="V3868" s="79"/>
    </row>
    <row r="3869" spans="7:22" x14ac:dyDescent="0.2">
      <c r="G3869" s="79"/>
      <c r="J3869" s="79"/>
      <c r="M3869" s="104"/>
      <c r="P3869" s="79"/>
      <c r="S3869" s="79"/>
      <c r="V3869" s="79"/>
    </row>
    <row r="3870" spans="7:22" x14ac:dyDescent="0.2">
      <c r="G3870" s="79"/>
      <c r="J3870" s="79"/>
      <c r="M3870" s="104"/>
      <c r="P3870" s="79"/>
      <c r="S3870" s="79"/>
      <c r="V3870" s="79"/>
    </row>
    <row r="3871" spans="7:22" x14ac:dyDescent="0.2">
      <c r="G3871" s="79"/>
      <c r="J3871" s="79"/>
      <c r="M3871" s="104"/>
      <c r="P3871" s="79"/>
      <c r="S3871" s="79"/>
      <c r="V3871" s="79"/>
    </row>
    <row r="3872" spans="7:22" x14ac:dyDescent="0.2">
      <c r="G3872" s="79"/>
      <c r="J3872" s="79"/>
      <c r="M3872" s="104"/>
      <c r="P3872" s="79"/>
      <c r="S3872" s="79"/>
      <c r="V3872" s="79"/>
    </row>
    <row r="3873" spans="7:22" x14ac:dyDescent="0.2">
      <c r="G3873" s="79"/>
      <c r="J3873" s="79"/>
      <c r="M3873" s="104"/>
      <c r="P3873" s="79"/>
      <c r="S3873" s="79"/>
      <c r="V3873" s="79"/>
    </row>
    <row r="3874" spans="7:22" x14ac:dyDescent="0.2">
      <c r="G3874" s="79"/>
      <c r="J3874" s="79"/>
      <c r="M3874" s="104"/>
      <c r="P3874" s="79"/>
      <c r="S3874" s="79"/>
      <c r="V3874" s="79"/>
    </row>
    <row r="3875" spans="7:22" x14ac:dyDescent="0.2">
      <c r="G3875" s="79"/>
      <c r="J3875" s="79"/>
      <c r="M3875" s="104"/>
      <c r="P3875" s="79"/>
      <c r="S3875" s="79"/>
      <c r="V3875" s="79"/>
    </row>
    <row r="3876" spans="7:22" x14ac:dyDescent="0.2">
      <c r="G3876" s="79"/>
      <c r="J3876" s="79"/>
      <c r="M3876" s="104"/>
      <c r="P3876" s="79"/>
      <c r="S3876" s="79"/>
      <c r="V3876" s="79"/>
    </row>
    <row r="3877" spans="7:22" x14ac:dyDescent="0.2">
      <c r="G3877" s="79"/>
      <c r="J3877" s="79"/>
      <c r="M3877" s="104"/>
      <c r="P3877" s="79"/>
      <c r="S3877" s="79"/>
      <c r="V3877" s="79"/>
    </row>
    <row r="3878" spans="7:22" x14ac:dyDescent="0.2">
      <c r="G3878" s="79"/>
      <c r="J3878" s="79"/>
      <c r="M3878" s="104"/>
      <c r="P3878" s="79"/>
      <c r="S3878" s="79"/>
      <c r="V3878" s="79"/>
    </row>
    <row r="3879" spans="7:22" x14ac:dyDescent="0.2">
      <c r="G3879" s="79"/>
      <c r="J3879" s="79"/>
      <c r="M3879" s="104"/>
      <c r="P3879" s="79"/>
      <c r="S3879" s="79"/>
      <c r="V3879" s="79"/>
    </row>
    <row r="3880" spans="7:22" x14ac:dyDescent="0.2">
      <c r="G3880" s="79"/>
      <c r="J3880" s="79"/>
      <c r="M3880" s="104"/>
      <c r="P3880" s="79"/>
      <c r="S3880" s="79"/>
      <c r="V3880" s="79"/>
    </row>
    <row r="3881" spans="7:22" x14ac:dyDescent="0.2">
      <c r="G3881" s="79"/>
      <c r="J3881" s="79"/>
      <c r="M3881" s="104"/>
      <c r="P3881" s="79"/>
      <c r="S3881" s="79"/>
      <c r="V3881" s="79"/>
    </row>
    <row r="3882" spans="7:22" x14ac:dyDescent="0.2">
      <c r="G3882" s="79"/>
      <c r="J3882" s="79"/>
      <c r="M3882" s="104"/>
      <c r="P3882" s="79"/>
      <c r="S3882" s="79"/>
      <c r="V3882" s="79"/>
    </row>
    <row r="3883" spans="7:22" x14ac:dyDescent="0.2">
      <c r="G3883" s="79"/>
      <c r="J3883" s="79"/>
      <c r="M3883" s="104"/>
      <c r="P3883" s="79"/>
      <c r="S3883" s="79"/>
      <c r="V3883" s="79"/>
    </row>
    <row r="3884" spans="7:22" x14ac:dyDescent="0.2">
      <c r="G3884" s="79"/>
      <c r="J3884" s="79"/>
      <c r="M3884" s="104"/>
      <c r="P3884" s="79"/>
      <c r="S3884" s="79"/>
      <c r="V3884" s="79"/>
    </row>
    <row r="3885" spans="7:22" x14ac:dyDescent="0.2">
      <c r="G3885" s="79"/>
      <c r="J3885" s="79"/>
      <c r="M3885" s="104"/>
      <c r="P3885" s="79"/>
      <c r="S3885" s="79"/>
      <c r="V3885" s="79"/>
    </row>
    <row r="3886" spans="7:22" x14ac:dyDescent="0.2">
      <c r="G3886" s="79"/>
      <c r="J3886" s="79"/>
      <c r="M3886" s="104"/>
      <c r="P3886" s="79"/>
      <c r="S3886" s="79"/>
      <c r="V3886" s="79"/>
    </row>
    <row r="3887" spans="7:22" x14ac:dyDescent="0.2">
      <c r="G3887" s="79"/>
      <c r="J3887" s="79"/>
      <c r="M3887" s="104"/>
      <c r="P3887" s="79"/>
      <c r="S3887" s="79"/>
      <c r="V3887" s="79"/>
    </row>
    <row r="3888" spans="7:22" x14ac:dyDescent="0.2">
      <c r="G3888" s="79"/>
      <c r="J3888" s="79"/>
      <c r="M3888" s="104"/>
      <c r="P3888" s="79"/>
      <c r="S3888" s="79"/>
      <c r="V3888" s="79"/>
    </row>
    <row r="3889" spans="7:22" x14ac:dyDescent="0.2">
      <c r="G3889" s="79"/>
      <c r="J3889" s="79"/>
      <c r="M3889" s="104"/>
      <c r="P3889" s="79"/>
      <c r="S3889" s="79"/>
      <c r="V3889" s="79"/>
    </row>
    <row r="3890" spans="7:22" x14ac:dyDescent="0.2">
      <c r="G3890" s="79"/>
      <c r="J3890" s="79"/>
      <c r="M3890" s="104"/>
      <c r="P3890" s="79"/>
      <c r="S3890" s="79"/>
      <c r="V3890" s="79"/>
    </row>
    <row r="3891" spans="7:22" x14ac:dyDescent="0.2">
      <c r="G3891" s="79"/>
      <c r="J3891" s="79"/>
      <c r="M3891" s="104"/>
      <c r="P3891" s="79"/>
      <c r="S3891" s="79"/>
      <c r="V3891" s="79"/>
    </row>
    <row r="3892" spans="7:22" x14ac:dyDescent="0.2">
      <c r="G3892" s="79"/>
      <c r="J3892" s="79"/>
      <c r="M3892" s="104"/>
      <c r="P3892" s="79"/>
      <c r="S3892" s="79"/>
      <c r="V3892" s="79"/>
    </row>
    <row r="3893" spans="7:22" x14ac:dyDescent="0.2">
      <c r="G3893" s="79"/>
      <c r="J3893" s="79"/>
      <c r="M3893" s="104"/>
      <c r="P3893" s="79"/>
      <c r="S3893" s="79"/>
      <c r="V3893" s="79"/>
    </row>
    <row r="3894" spans="7:22" x14ac:dyDescent="0.2">
      <c r="G3894" s="79"/>
      <c r="J3894" s="79"/>
      <c r="M3894" s="104"/>
      <c r="P3894" s="79"/>
      <c r="S3894" s="79"/>
      <c r="V3894" s="79"/>
    </row>
    <row r="3895" spans="7:22" x14ac:dyDescent="0.2">
      <c r="G3895" s="79"/>
      <c r="J3895" s="79"/>
      <c r="M3895" s="104"/>
      <c r="P3895" s="79"/>
      <c r="S3895" s="79"/>
      <c r="V3895" s="79"/>
    </row>
    <row r="3896" spans="7:22" x14ac:dyDescent="0.2">
      <c r="G3896" s="79"/>
      <c r="J3896" s="79"/>
      <c r="M3896" s="104"/>
      <c r="P3896" s="79"/>
      <c r="S3896" s="79"/>
      <c r="V3896" s="79"/>
    </row>
    <row r="3897" spans="7:22" x14ac:dyDescent="0.2">
      <c r="G3897" s="79"/>
      <c r="J3897" s="79"/>
      <c r="M3897" s="104"/>
      <c r="P3897" s="79"/>
      <c r="S3897" s="79"/>
      <c r="V3897" s="79"/>
    </row>
    <row r="3898" spans="7:22" x14ac:dyDescent="0.2">
      <c r="G3898" s="79"/>
      <c r="J3898" s="79"/>
      <c r="M3898" s="104"/>
      <c r="P3898" s="79"/>
      <c r="S3898" s="79"/>
      <c r="V3898" s="79"/>
    </row>
    <row r="3899" spans="7:22" x14ac:dyDescent="0.2">
      <c r="G3899" s="79"/>
      <c r="J3899" s="79"/>
      <c r="M3899" s="104"/>
      <c r="P3899" s="79"/>
      <c r="S3899" s="79"/>
      <c r="V3899" s="79"/>
    </row>
    <row r="3900" spans="7:22" x14ac:dyDescent="0.2">
      <c r="G3900" s="79"/>
      <c r="J3900" s="79"/>
      <c r="M3900" s="104"/>
      <c r="P3900" s="79"/>
      <c r="S3900" s="79"/>
      <c r="V3900" s="79"/>
    </row>
    <row r="3901" spans="7:22" x14ac:dyDescent="0.2">
      <c r="G3901" s="79"/>
      <c r="J3901" s="79"/>
      <c r="M3901" s="104"/>
      <c r="P3901" s="79"/>
      <c r="S3901" s="79"/>
      <c r="V3901" s="79"/>
    </row>
    <row r="3902" spans="7:22" x14ac:dyDescent="0.2">
      <c r="G3902" s="79"/>
      <c r="J3902" s="79"/>
      <c r="M3902" s="104"/>
      <c r="P3902" s="79"/>
      <c r="S3902" s="79"/>
      <c r="V3902" s="79"/>
    </row>
    <row r="3903" spans="7:22" x14ac:dyDescent="0.2">
      <c r="G3903" s="79"/>
      <c r="J3903" s="79"/>
      <c r="M3903" s="104"/>
      <c r="P3903" s="79"/>
      <c r="S3903" s="79"/>
      <c r="V3903" s="79"/>
    </row>
    <row r="3904" spans="7:22" x14ac:dyDescent="0.2">
      <c r="G3904" s="79"/>
      <c r="J3904" s="79"/>
      <c r="M3904" s="104"/>
      <c r="P3904" s="79"/>
      <c r="S3904" s="79"/>
      <c r="V3904" s="79"/>
    </row>
    <row r="3905" spans="7:22" x14ac:dyDescent="0.2">
      <c r="G3905" s="79"/>
      <c r="J3905" s="79"/>
      <c r="M3905" s="104"/>
      <c r="P3905" s="79"/>
      <c r="S3905" s="79"/>
      <c r="V3905" s="79"/>
    </row>
    <row r="3906" spans="7:22" x14ac:dyDescent="0.2">
      <c r="G3906" s="79"/>
      <c r="J3906" s="79"/>
      <c r="M3906" s="104"/>
      <c r="P3906" s="79"/>
      <c r="S3906" s="79"/>
      <c r="V3906" s="79"/>
    </row>
    <row r="3907" spans="7:22" x14ac:dyDescent="0.2">
      <c r="G3907" s="79"/>
      <c r="J3907" s="79"/>
      <c r="M3907" s="104"/>
      <c r="P3907" s="79"/>
      <c r="S3907" s="79"/>
      <c r="V3907" s="79"/>
    </row>
    <row r="3908" spans="7:22" x14ac:dyDescent="0.2">
      <c r="G3908" s="79"/>
      <c r="J3908" s="79"/>
      <c r="M3908" s="104"/>
      <c r="P3908" s="79"/>
      <c r="S3908" s="79"/>
      <c r="V3908" s="79"/>
    </row>
    <row r="3909" spans="7:22" x14ac:dyDescent="0.2">
      <c r="G3909" s="79"/>
      <c r="J3909" s="79"/>
      <c r="M3909" s="104"/>
      <c r="P3909" s="79"/>
      <c r="S3909" s="79"/>
      <c r="V3909" s="79"/>
    </row>
    <row r="3910" spans="7:22" x14ac:dyDescent="0.2">
      <c r="G3910" s="79"/>
      <c r="J3910" s="79"/>
      <c r="M3910" s="104"/>
      <c r="P3910" s="79"/>
      <c r="S3910" s="79"/>
      <c r="V3910" s="79"/>
    </row>
    <row r="3911" spans="7:22" x14ac:dyDescent="0.2">
      <c r="G3911" s="79"/>
      <c r="J3911" s="79"/>
      <c r="M3911" s="104"/>
      <c r="P3911" s="79"/>
      <c r="S3911" s="79"/>
      <c r="V3911" s="79"/>
    </row>
    <row r="3912" spans="7:22" x14ac:dyDescent="0.2">
      <c r="G3912" s="79"/>
      <c r="J3912" s="79"/>
      <c r="M3912" s="104"/>
      <c r="P3912" s="79"/>
      <c r="S3912" s="79"/>
      <c r="V3912" s="79"/>
    </row>
    <row r="3913" spans="7:22" x14ac:dyDescent="0.2">
      <c r="G3913" s="79"/>
      <c r="J3913" s="79"/>
      <c r="M3913" s="104"/>
      <c r="P3913" s="79"/>
      <c r="S3913" s="79"/>
      <c r="V3913" s="79"/>
    </row>
    <row r="3914" spans="7:22" x14ac:dyDescent="0.2">
      <c r="G3914" s="79"/>
      <c r="J3914" s="79"/>
      <c r="M3914" s="104"/>
      <c r="P3914" s="79"/>
      <c r="S3914" s="79"/>
      <c r="V3914" s="79"/>
    </row>
    <row r="3915" spans="7:22" x14ac:dyDescent="0.2">
      <c r="G3915" s="79"/>
      <c r="J3915" s="79"/>
      <c r="M3915" s="104"/>
      <c r="P3915" s="79"/>
      <c r="S3915" s="79"/>
      <c r="V3915" s="79"/>
    </row>
    <row r="3916" spans="7:22" x14ac:dyDescent="0.2">
      <c r="G3916" s="79"/>
      <c r="J3916" s="79"/>
      <c r="M3916" s="104"/>
      <c r="P3916" s="79"/>
      <c r="S3916" s="79"/>
      <c r="V3916" s="79"/>
    </row>
    <row r="3917" spans="7:22" x14ac:dyDescent="0.2">
      <c r="G3917" s="79"/>
      <c r="J3917" s="79"/>
      <c r="M3917" s="104"/>
      <c r="P3917" s="79"/>
      <c r="S3917" s="79"/>
      <c r="V3917" s="79"/>
    </row>
    <row r="3918" spans="7:22" x14ac:dyDescent="0.2">
      <c r="G3918" s="79"/>
      <c r="J3918" s="79"/>
      <c r="M3918" s="104"/>
      <c r="P3918" s="79"/>
      <c r="S3918" s="79"/>
      <c r="V3918" s="79"/>
    </row>
    <row r="3919" spans="7:22" x14ac:dyDescent="0.2">
      <c r="G3919" s="79"/>
      <c r="J3919" s="79"/>
      <c r="M3919" s="104"/>
      <c r="P3919" s="79"/>
      <c r="S3919" s="79"/>
      <c r="V3919" s="79"/>
    </row>
    <row r="3920" spans="7:22" x14ac:dyDescent="0.2">
      <c r="G3920" s="79"/>
      <c r="J3920" s="79"/>
      <c r="M3920" s="104"/>
      <c r="P3920" s="79"/>
      <c r="S3920" s="79"/>
      <c r="V3920" s="79"/>
    </row>
    <row r="3921" spans="7:22" x14ac:dyDescent="0.2">
      <c r="G3921" s="79"/>
      <c r="J3921" s="79"/>
      <c r="M3921" s="104"/>
      <c r="P3921" s="79"/>
      <c r="S3921" s="79"/>
      <c r="V3921" s="79"/>
    </row>
    <row r="3922" spans="7:22" x14ac:dyDescent="0.2">
      <c r="G3922" s="79"/>
      <c r="J3922" s="79"/>
      <c r="M3922" s="104"/>
      <c r="P3922" s="79"/>
      <c r="S3922" s="79"/>
      <c r="V3922" s="79"/>
    </row>
    <row r="3923" spans="7:22" x14ac:dyDescent="0.2">
      <c r="G3923" s="79"/>
      <c r="J3923" s="79"/>
      <c r="M3923" s="104"/>
      <c r="P3923" s="79"/>
      <c r="S3923" s="79"/>
      <c r="V3923" s="79"/>
    </row>
    <row r="3924" spans="7:22" x14ac:dyDescent="0.2">
      <c r="G3924" s="79"/>
      <c r="J3924" s="79"/>
      <c r="M3924" s="104"/>
      <c r="P3924" s="79"/>
      <c r="S3924" s="79"/>
      <c r="V3924" s="79"/>
    </row>
    <row r="3925" spans="7:22" x14ac:dyDescent="0.2">
      <c r="G3925" s="79"/>
      <c r="J3925" s="79"/>
      <c r="M3925" s="104"/>
      <c r="P3925" s="79"/>
      <c r="S3925" s="79"/>
      <c r="V3925" s="79"/>
    </row>
    <row r="3926" spans="7:22" x14ac:dyDescent="0.2">
      <c r="G3926" s="79"/>
      <c r="J3926" s="79"/>
      <c r="M3926" s="104"/>
      <c r="P3926" s="79"/>
      <c r="S3926" s="79"/>
      <c r="V3926" s="79"/>
    </row>
    <row r="3927" spans="7:22" x14ac:dyDescent="0.2">
      <c r="G3927" s="79"/>
      <c r="J3927" s="79"/>
      <c r="M3927" s="104"/>
      <c r="P3927" s="79"/>
      <c r="S3927" s="79"/>
      <c r="V3927" s="79"/>
    </row>
    <row r="3928" spans="7:22" x14ac:dyDescent="0.2">
      <c r="G3928" s="79"/>
      <c r="J3928" s="79"/>
      <c r="M3928" s="104"/>
      <c r="P3928" s="79"/>
      <c r="S3928" s="79"/>
      <c r="V3928" s="79"/>
    </row>
    <row r="3929" spans="7:22" x14ac:dyDescent="0.2">
      <c r="G3929" s="79"/>
      <c r="J3929" s="79"/>
      <c r="M3929" s="104"/>
      <c r="P3929" s="79"/>
      <c r="S3929" s="79"/>
      <c r="V3929" s="79"/>
    </row>
    <row r="3930" spans="7:22" x14ac:dyDescent="0.2">
      <c r="G3930" s="79"/>
      <c r="J3930" s="79"/>
      <c r="M3930" s="104"/>
      <c r="P3930" s="79"/>
      <c r="S3930" s="79"/>
      <c r="V3930" s="79"/>
    </row>
    <row r="3931" spans="7:22" x14ac:dyDescent="0.2">
      <c r="G3931" s="79"/>
      <c r="J3931" s="79"/>
      <c r="M3931" s="104"/>
      <c r="P3931" s="79"/>
      <c r="S3931" s="79"/>
      <c r="V3931" s="79"/>
    </row>
    <row r="3932" spans="7:22" x14ac:dyDescent="0.2">
      <c r="G3932" s="79"/>
      <c r="J3932" s="79"/>
      <c r="M3932" s="104"/>
      <c r="P3932" s="79"/>
      <c r="S3932" s="79"/>
      <c r="V3932" s="79"/>
    </row>
    <row r="3933" spans="7:22" x14ac:dyDescent="0.2">
      <c r="G3933" s="79"/>
      <c r="J3933" s="79"/>
      <c r="M3933" s="104"/>
      <c r="P3933" s="79"/>
      <c r="S3933" s="79"/>
      <c r="V3933" s="79"/>
    </row>
    <row r="3934" spans="7:22" x14ac:dyDescent="0.2">
      <c r="G3934" s="79"/>
      <c r="J3934" s="79"/>
      <c r="M3934" s="104"/>
      <c r="P3934" s="79"/>
      <c r="S3934" s="79"/>
      <c r="V3934" s="79"/>
    </row>
    <row r="3935" spans="7:22" x14ac:dyDescent="0.2">
      <c r="G3935" s="79"/>
      <c r="J3935" s="79"/>
      <c r="M3935" s="104"/>
      <c r="P3935" s="79"/>
      <c r="S3935" s="79"/>
      <c r="V3935" s="79"/>
    </row>
    <row r="3936" spans="7:22" x14ac:dyDescent="0.2">
      <c r="G3936" s="79"/>
      <c r="J3936" s="79"/>
      <c r="M3936" s="104"/>
      <c r="P3936" s="79"/>
      <c r="S3936" s="79"/>
      <c r="V3936" s="79"/>
    </row>
    <row r="3937" spans="7:22" x14ac:dyDescent="0.2">
      <c r="G3937" s="79"/>
      <c r="J3937" s="79"/>
      <c r="M3937" s="104"/>
      <c r="P3937" s="79"/>
      <c r="S3937" s="79"/>
      <c r="V3937" s="79"/>
    </row>
    <row r="3938" spans="7:22" x14ac:dyDescent="0.2">
      <c r="G3938" s="79"/>
      <c r="J3938" s="79"/>
      <c r="M3938" s="104"/>
      <c r="P3938" s="79"/>
      <c r="S3938" s="79"/>
      <c r="V3938" s="79"/>
    </row>
    <row r="3939" spans="7:22" x14ac:dyDescent="0.2">
      <c r="G3939" s="79"/>
      <c r="J3939" s="79"/>
      <c r="M3939" s="104"/>
      <c r="P3939" s="79"/>
      <c r="S3939" s="79"/>
      <c r="V3939" s="79"/>
    </row>
    <row r="3940" spans="7:22" x14ac:dyDescent="0.2">
      <c r="G3940" s="79"/>
      <c r="J3940" s="79"/>
      <c r="M3940" s="104"/>
      <c r="P3940" s="79"/>
      <c r="S3940" s="79"/>
      <c r="V3940" s="79"/>
    </row>
    <row r="3941" spans="7:22" x14ac:dyDescent="0.2">
      <c r="G3941" s="79"/>
      <c r="J3941" s="79"/>
      <c r="M3941" s="104"/>
      <c r="P3941" s="79"/>
      <c r="S3941" s="79"/>
      <c r="V3941" s="79"/>
    </row>
    <row r="3942" spans="7:22" x14ac:dyDescent="0.2">
      <c r="G3942" s="79"/>
      <c r="J3942" s="79"/>
      <c r="M3942" s="104"/>
      <c r="P3942" s="79"/>
      <c r="S3942" s="79"/>
      <c r="V3942" s="79"/>
    </row>
    <row r="3943" spans="7:22" x14ac:dyDescent="0.2">
      <c r="G3943" s="79"/>
      <c r="J3943" s="79"/>
      <c r="M3943" s="104"/>
      <c r="P3943" s="79"/>
      <c r="S3943" s="79"/>
      <c r="V3943" s="79"/>
    </row>
    <row r="3944" spans="7:22" x14ac:dyDescent="0.2">
      <c r="G3944" s="79"/>
      <c r="J3944" s="79"/>
      <c r="M3944" s="104"/>
      <c r="P3944" s="79"/>
      <c r="S3944" s="79"/>
      <c r="V3944" s="79"/>
    </row>
    <row r="3945" spans="7:22" x14ac:dyDescent="0.2">
      <c r="G3945" s="79"/>
      <c r="J3945" s="79"/>
      <c r="M3945" s="104"/>
      <c r="P3945" s="79"/>
      <c r="S3945" s="79"/>
      <c r="V3945" s="79"/>
    </row>
    <row r="3946" spans="7:22" x14ac:dyDescent="0.2">
      <c r="G3946" s="79"/>
      <c r="J3946" s="79"/>
      <c r="M3946" s="104"/>
      <c r="P3946" s="79"/>
      <c r="S3946" s="79"/>
      <c r="V3946" s="79"/>
    </row>
    <row r="3947" spans="7:22" x14ac:dyDescent="0.2">
      <c r="G3947" s="79"/>
      <c r="J3947" s="79"/>
      <c r="M3947" s="104"/>
      <c r="P3947" s="79"/>
      <c r="S3947" s="79"/>
      <c r="V3947" s="79"/>
    </row>
    <row r="3948" spans="7:22" x14ac:dyDescent="0.2">
      <c r="G3948" s="79"/>
      <c r="J3948" s="79"/>
      <c r="M3948" s="104"/>
      <c r="P3948" s="79"/>
      <c r="S3948" s="79"/>
      <c r="V3948" s="79"/>
    </row>
    <row r="3949" spans="7:22" x14ac:dyDescent="0.2">
      <c r="G3949" s="79"/>
      <c r="J3949" s="79"/>
      <c r="M3949" s="104"/>
      <c r="P3949" s="79"/>
      <c r="S3949" s="79"/>
      <c r="V3949" s="79"/>
    </row>
    <row r="3950" spans="7:22" x14ac:dyDescent="0.2">
      <c r="G3950" s="79"/>
      <c r="J3950" s="79"/>
      <c r="M3950" s="104"/>
      <c r="P3950" s="79"/>
      <c r="S3950" s="79"/>
      <c r="V3950" s="79"/>
    </row>
    <row r="3951" spans="7:22" x14ac:dyDescent="0.2">
      <c r="G3951" s="79"/>
      <c r="J3951" s="79"/>
      <c r="M3951" s="104"/>
      <c r="P3951" s="79"/>
      <c r="S3951" s="79"/>
      <c r="V3951" s="79"/>
    </row>
    <row r="3952" spans="7:22" x14ac:dyDescent="0.2">
      <c r="G3952" s="79"/>
      <c r="J3952" s="79"/>
      <c r="M3952" s="104"/>
      <c r="P3952" s="79"/>
      <c r="S3952" s="79"/>
      <c r="V3952" s="79"/>
    </row>
    <row r="3953" spans="7:22" x14ac:dyDescent="0.2">
      <c r="G3953" s="79"/>
      <c r="J3953" s="79"/>
      <c r="M3953" s="104"/>
      <c r="P3953" s="79"/>
      <c r="S3953" s="79"/>
      <c r="V3953" s="79"/>
    </row>
    <row r="3954" spans="7:22" x14ac:dyDescent="0.2">
      <c r="G3954" s="79"/>
      <c r="J3954" s="79"/>
      <c r="M3954" s="104"/>
      <c r="P3954" s="79"/>
      <c r="S3954" s="79"/>
      <c r="V3954" s="79"/>
    </row>
    <row r="3955" spans="7:22" x14ac:dyDescent="0.2">
      <c r="G3955" s="79"/>
      <c r="J3955" s="79"/>
      <c r="M3955" s="104"/>
      <c r="P3955" s="79"/>
      <c r="S3955" s="79"/>
      <c r="V3955" s="79"/>
    </row>
    <row r="3956" spans="7:22" x14ac:dyDescent="0.2">
      <c r="G3956" s="79"/>
      <c r="J3956" s="79"/>
      <c r="M3956" s="104"/>
      <c r="P3956" s="79"/>
      <c r="S3956" s="79"/>
      <c r="V3956" s="79"/>
    </row>
    <row r="3957" spans="7:22" x14ac:dyDescent="0.2">
      <c r="G3957" s="79"/>
      <c r="J3957" s="79"/>
      <c r="M3957" s="104"/>
      <c r="P3957" s="79"/>
      <c r="S3957" s="79"/>
      <c r="V3957" s="79"/>
    </row>
    <row r="3958" spans="7:22" x14ac:dyDescent="0.2">
      <c r="G3958" s="79"/>
      <c r="J3958" s="79"/>
      <c r="M3958" s="104"/>
      <c r="P3958" s="79"/>
      <c r="S3958" s="79"/>
      <c r="V3958" s="79"/>
    </row>
    <row r="3959" spans="7:22" x14ac:dyDescent="0.2">
      <c r="G3959" s="79"/>
      <c r="J3959" s="79"/>
      <c r="M3959" s="104"/>
      <c r="P3959" s="79"/>
      <c r="S3959" s="79"/>
      <c r="V3959" s="79"/>
    </row>
    <row r="3960" spans="7:22" x14ac:dyDescent="0.2">
      <c r="G3960" s="79"/>
      <c r="J3960" s="79"/>
      <c r="M3960" s="104"/>
      <c r="P3960" s="79"/>
      <c r="S3960" s="79"/>
      <c r="V3960" s="79"/>
    </row>
    <row r="3961" spans="7:22" x14ac:dyDescent="0.2">
      <c r="G3961" s="79"/>
      <c r="J3961" s="79"/>
      <c r="M3961" s="104"/>
      <c r="P3961" s="79"/>
      <c r="S3961" s="79"/>
      <c r="V3961" s="79"/>
    </row>
    <row r="3962" spans="7:22" x14ac:dyDescent="0.2">
      <c r="G3962" s="79"/>
      <c r="J3962" s="79"/>
      <c r="M3962" s="104"/>
      <c r="P3962" s="79"/>
      <c r="S3962" s="79"/>
      <c r="V3962" s="79"/>
    </row>
    <row r="3963" spans="7:22" x14ac:dyDescent="0.2">
      <c r="G3963" s="79"/>
      <c r="J3963" s="79"/>
      <c r="M3963" s="104"/>
      <c r="P3963" s="79"/>
      <c r="S3963" s="79"/>
      <c r="V3963" s="79"/>
    </row>
    <row r="3964" spans="7:22" x14ac:dyDescent="0.2">
      <c r="G3964" s="79"/>
      <c r="J3964" s="79"/>
      <c r="M3964" s="104"/>
      <c r="P3964" s="79"/>
      <c r="S3964" s="79"/>
      <c r="V3964" s="79"/>
    </row>
    <row r="3965" spans="7:22" x14ac:dyDescent="0.2">
      <c r="G3965" s="79"/>
      <c r="J3965" s="79"/>
      <c r="M3965" s="104"/>
      <c r="P3965" s="79"/>
      <c r="S3965" s="79"/>
      <c r="V3965" s="79"/>
    </row>
    <row r="3966" spans="7:22" x14ac:dyDescent="0.2">
      <c r="G3966" s="79"/>
      <c r="J3966" s="79"/>
      <c r="M3966" s="104"/>
      <c r="P3966" s="79"/>
      <c r="S3966" s="79"/>
      <c r="V3966" s="79"/>
    </row>
    <row r="3967" spans="7:22" x14ac:dyDescent="0.2">
      <c r="G3967" s="79"/>
      <c r="J3967" s="79"/>
      <c r="M3967" s="104"/>
      <c r="P3967" s="79"/>
      <c r="S3967" s="79"/>
      <c r="V3967" s="79"/>
    </row>
    <row r="3968" spans="7:22" x14ac:dyDescent="0.2">
      <c r="G3968" s="79"/>
      <c r="J3968" s="79"/>
      <c r="M3968" s="104"/>
      <c r="P3968" s="79"/>
      <c r="S3968" s="79"/>
      <c r="V3968" s="79"/>
    </row>
    <row r="3969" spans="7:22" x14ac:dyDescent="0.2">
      <c r="G3969" s="79"/>
      <c r="J3969" s="79"/>
      <c r="M3969" s="104"/>
      <c r="P3969" s="79"/>
      <c r="S3969" s="79"/>
      <c r="V3969" s="79"/>
    </row>
    <row r="3970" spans="7:22" x14ac:dyDescent="0.2">
      <c r="G3970" s="79"/>
      <c r="J3970" s="79"/>
      <c r="M3970" s="104"/>
      <c r="P3970" s="79"/>
      <c r="S3970" s="79"/>
      <c r="V3970" s="79"/>
    </row>
    <row r="3971" spans="7:22" x14ac:dyDescent="0.2">
      <c r="G3971" s="79"/>
      <c r="J3971" s="79"/>
      <c r="M3971" s="104"/>
      <c r="P3971" s="79"/>
      <c r="S3971" s="79"/>
      <c r="V3971" s="79"/>
    </row>
    <row r="3972" spans="7:22" x14ac:dyDescent="0.2">
      <c r="G3972" s="79"/>
      <c r="J3972" s="79"/>
      <c r="M3972" s="104"/>
      <c r="P3972" s="79"/>
      <c r="S3972" s="79"/>
      <c r="V3972" s="79"/>
    </row>
    <row r="3973" spans="7:22" x14ac:dyDescent="0.2">
      <c r="G3973" s="79"/>
      <c r="J3973" s="79"/>
      <c r="M3973" s="104"/>
      <c r="P3973" s="79"/>
      <c r="S3973" s="79"/>
      <c r="V3973" s="79"/>
    </row>
    <row r="3974" spans="7:22" x14ac:dyDescent="0.2">
      <c r="G3974" s="79"/>
      <c r="J3974" s="79"/>
      <c r="M3974" s="104"/>
      <c r="P3974" s="79"/>
      <c r="S3974" s="79"/>
      <c r="V3974" s="79"/>
    </row>
    <row r="3975" spans="7:22" x14ac:dyDescent="0.2">
      <c r="G3975" s="79"/>
      <c r="J3975" s="79"/>
      <c r="M3975" s="104"/>
      <c r="P3975" s="79"/>
      <c r="S3975" s="79"/>
      <c r="V3975" s="79"/>
    </row>
    <row r="3976" spans="7:22" x14ac:dyDescent="0.2">
      <c r="G3976" s="79"/>
      <c r="J3976" s="79"/>
      <c r="M3976" s="104"/>
      <c r="P3976" s="79"/>
      <c r="S3976" s="79"/>
      <c r="V3976" s="79"/>
    </row>
    <row r="3977" spans="7:22" x14ac:dyDescent="0.2">
      <c r="G3977" s="79"/>
      <c r="J3977" s="79"/>
      <c r="M3977" s="104"/>
      <c r="P3977" s="79"/>
      <c r="S3977" s="79"/>
      <c r="V3977" s="79"/>
    </row>
    <row r="3978" spans="7:22" x14ac:dyDescent="0.2">
      <c r="G3978" s="79"/>
      <c r="J3978" s="79"/>
      <c r="M3978" s="104"/>
      <c r="P3978" s="79"/>
      <c r="S3978" s="79"/>
      <c r="V3978" s="79"/>
    </row>
    <row r="3979" spans="7:22" x14ac:dyDescent="0.2">
      <c r="G3979" s="79"/>
      <c r="J3979" s="79"/>
      <c r="M3979" s="104"/>
      <c r="P3979" s="79"/>
      <c r="S3979" s="79"/>
      <c r="V3979" s="79"/>
    </row>
    <row r="3980" spans="7:22" x14ac:dyDescent="0.2">
      <c r="G3980" s="79"/>
      <c r="J3980" s="79"/>
      <c r="M3980" s="104"/>
      <c r="P3980" s="79"/>
      <c r="S3980" s="79"/>
      <c r="V3980" s="79"/>
    </row>
    <row r="3981" spans="7:22" x14ac:dyDescent="0.2">
      <c r="G3981" s="79"/>
      <c r="J3981" s="79"/>
      <c r="M3981" s="104"/>
      <c r="P3981" s="79"/>
      <c r="S3981" s="79"/>
      <c r="V3981" s="79"/>
    </row>
    <row r="3982" spans="7:22" x14ac:dyDescent="0.2">
      <c r="G3982" s="79"/>
      <c r="J3982" s="79"/>
      <c r="M3982" s="104"/>
      <c r="P3982" s="79"/>
      <c r="S3982" s="79"/>
      <c r="V3982" s="79"/>
    </row>
    <row r="3983" spans="7:22" x14ac:dyDescent="0.2">
      <c r="G3983" s="79"/>
      <c r="J3983" s="79"/>
      <c r="M3983" s="104"/>
      <c r="P3983" s="79"/>
      <c r="S3983" s="79"/>
      <c r="V3983" s="79"/>
    </row>
    <row r="3984" spans="7:22" x14ac:dyDescent="0.2">
      <c r="G3984" s="79"/>
      <c r="J3984" s="79"/>
      <c r="M3984" s="104"/>
      <c r="P3984" s="79"/>
      <c r="S3984" s="79"/>
      <c r="V3984" s="79"/>
    </row>
    <row r="3985" spans="7:22" x14ac:dyDescent="0.2">
      <c r="G3985" s="79"/>
      <c r="J3985" s="79"/>
      <c r="M3985" s="104"/>
      <c r="P3985" s="79"/>
      <c r="S3985" s="79"/>
      <c r="V3985" s="79"/>
    </row>
    <row r="3986" spans="7:22" x14ac:dyDescent="0.2">
      <c r="G3986" s="79"/>
      <c r="J3986" s="79"/>
      <c r="M3986" s="104"/>
      <c r="P3986" s="79"/>
      <c r="S3986" s="79"/>
      <c r="V3986" s="79"/>
    </row>
    <row r="3987" spans="7:22" x14ac:dyDescent="0.2">
      <c r="G3987" s="79"/>
      <c r="J3987" s="79"/>
      <c r="M3987" s="104"/>
      <c r="P3987" s="79"/>
      <c r="S3987" s="79"/>
      <c r="V3987" s="79"/>
    </row>
    <row r="3988" spans="7:22" x14ac:dyDescent="0.2">
      <c r="G3988" s="79"/>
      <c r="J3988" s="79"/>
      <c r="M3988" s="104"/>
      <c r="P3988" s="79"/>
      <c r="S3988" s="79"/>
      <c r="V3988" s="79"/>
    </row>
    <row r="3989" spans="7:22" x14ac:dyDescent="0.2">
      <c r="G3989" s="79"/>
      <c r="J3989" s="79"/>
      <c r="M3989" s="104"/>
      <c r="P3989" s="79"/>
      <c r="S3989" s="79"/>
      <c r="V3989" s="79"/>
    </row>
    <row r="3990" spans="7:22" x14ac:dyDescent="0.2">
      <c r="G3990" s="79"/>
      <c r="J3990" s="79"/>
      <c r="M3990" s="104"/>
      <c r="P3990" s="79"/>
      <c r="S3990" s="79"/>
      <c r="V3990" s="79"/>
    </row>
    <row r="3991" spans="7:22" x14ac:dyDescent="0.2">
      <c r="G3991" s="79"/>
      <c r="J3991" s="79"/>
      <c r="M3991" s="104"/>
      <c r="P3991" s="79"/>
      <c r="S3991" s="79"/>
      <c r="V3991" s="79"/>
    </row>
    <row r="3992" spans="7:22" x14ac:dyDescent="0.2">
      <c r="G3992" s="79"/>
      <c r="J3992" s="79"/>
      <c r="M3992" s="104"/>
      <c r="P3992" s="79"/>
      <c r="S3992" s="79"/>
      <c r="V3992" s="79"/>
    </row>
    <row r="3993" spans="7:22" x14ac:dyDescent="0.2">
      <c r="G3993" s="79"/>
      <c r="J3993" s="79"/>
      <c r="M3993" s="104"/>
      <c r="P3993" s="79"/>
      <c r="S3993" s="79"/>
      <c r="V3993" s="79"/>
    </row>
    <row r="3994" spans="7:22" x14ac:dyDescent="0.2">
      <c r="G3994" s="79"/>
      <c r="J3994" s="79"/>
      <c r="M3994" s="104"/>
      <c r="P3994" s="79"/>
      <c r="S3994" s="79"/>
      <c r="V3994" s="79"/>
    </row>
    <row r="3995" spans="7:22" x14ac:dyDescent="0.2">
      <c r="G3995" s="79"/>
      <c r="J3995" s="79"/>
      <c r="M3995" s="104"/>
      <c r="P3995" s="79"/>
      <c r="S3995" s="79"/>
      <c r="V3995" s="79"/>
    </row>
    <row r="3996" spans="7:22" x14ac:dyDescent="0.2">
      <c r="G3996" s="79"/>
      <c r="J3996" s="79"/>
      <c r="M3996" s="104"/>
      <c r="P3996" s="79"/>
      <c r="S3996" s="79"/>
      <c r="V3996" s="79"/>
    </row>
    <row r="3997" spans="7:22" x14ac:dyDescent="0.2">
      <c r="G3997" s="79"/>
      <c r="J3997" s="79"/>
      <c r="M3997" s="104"/>
      <c r="P3997" s="79"/>
      <c r="S3997" s="79"/>
      <c r="V3997" s="79"/>
    </row>
    <row r="3998" spans="7:22" x14ac:dyDescent="0.2">
      <c r="G3998" s="79"/>
      <c r="J3998" s="79"/>
      <c r="M3998" s="104"/>
      <c r="P3998" s="79"/>
      <c r="S3998" s="79"/>
      <c r="V3998" s="79"/>
    </row>
    <row r="3999" spans="7:22" x14ac:dyDescent="0.2">
      <c r="G3999" s="79"/>
      <c r="J3999" s="79"/>
      <c r="M3999" s="104"/>
      <c r="P3999" s="79"/>
      <c r="S3999" s="79"/>
      <c r="V3999" s="79"/>
    </row>
    <row r="4000" spans="7:22" x14ac:dyDescent="0.2">
      <c r="G4000" s="79"/>
      <c r="J4000" s="79"/>
      <c r="M4000" s="104"/>
      <c r="P4000" s="79"/>
      <c r="S4000" s="79"/>
      <c r="V4000" s="79"/>
    </row>
    <row r="4001" spans="7:22" x14ac:dyDescent="0.2">
      <c r="G4001" s="79"/>
      <c r="J4001" s="79"/>
      <c r="M4001" s="104"/>
      <c r="P4001" s="79"/>
      <c r="S4001" s="79"/>
      <c r="V4001" s="79"/>
    </row>
    <row r="4002" spans="7:22" x14ac:dyDescent="0.2">
      <c r="G4002" s="79"/>
      <c r="J4002" s="79"/>
      <c r="M4002" s="104"/>
      <c r="P4002" s="79"/>
      <c r="S4002" s="79"/>
      <c r="V4002" s="79"/>
    </row>
    <row r="4003" spans="7:22" x14ac:dyDescent="0.2">
      <c r="G4003" s="79"/>
      <c r="J4003" s="79"/>
      <c r="M4003" s="104"/>
      <c r="P4003" s="79"/>
      <c r="S4003" s="79"/>
      <c r="V4003" s="79"/>
    </row>
    <row r="4004" spans="7:22" x14ac:dyDescent="0.2">
      <c r="G4004" s="79"/>
      <c r="J4004" s="79"/>
      <c r="M4004" s="104"/>
      <c r="P4004" s="79"/>
      <c r="S4004" s="79"/>
      <c r="V4004" s="79"/>
    </row>
    <row r="4005" spans="7:22" x14ac:dyDescent="0.2">
      <c r="G4005" s="79"/>
      <c r="J4005" s="79"/>
      <c r="M4005" s="104"/>
      <c r="P4005" s="79"/>
      <c r="S4005" s="79"/>
      <c r="V4005" s="79"/>
    </row>
    <row r="4006" spans="7:22" x14ac:dyDescent="0.2">
      <c r="G4006" s="79"/>
      <c r="J4006" s="79"/>
      <c r="M4006" s="104"/>
      <c r="P4006" s="79"/>
      <c r="S4006" s="79"/>
      <c r="V4006" s="79"/>
    </row>
    <row r="4007" spans="7:22" x14ac:dyDescent="0.2">
      <c r="G4007" s="79"/>
      <c r="J4007" s="79"/>
      <c r="M4007" s="104"/>
      <c r="P4007" s="79"/>
      <c r="S4007" s="79"/>
      <c r="V4007" s="79"/>
    </row>
    <row r="4008" spans="7:22" x14ac:dyDescent="0.2">
      <c r="G4008" s="79"/>
      <c r="J4008" s="79"/>
      <c r="M4008" s="104"/>
      <c r="P4008" s="79"/>
      <c r="S4008" s="79"/>
      <c r="V4008" s="79"/>
    </row>
    <row r="4009" spans="7:22" x14ac:dyDescent="0.2">
      <c r="G4009" s="79"/>
      <c r="J4009" s="79"/>
      <c r="M4009" s="104"/>
      <c r="P4009" s="79"/>
      <c r="S4009" s="79"/>
      <c r="V4009" s="79"/>
    </row>
    <row r="4010" spans="7:22" x14ac:dyDescent="0.2">
      <c r="G4010" s="79"/>
      <c r="J4010" s="79"/>
      <c r="M4010" s="104"/>
      <c r="P4010" s="79"/>
      <c r="S4010" s="79"/>
      <c r="V4010" s="79"/>
    </row>
    <row r="4011" spans="7:22" x14ac:dyDescent="0.2">
      <c r="G4011" s="79"/>
      <c r="J4011" s="79"/>
      <c r="M4011" s="104"/>
      <c r="P4011" s="79"/>
      <c r="S4011" s="79"/>
      <c r="V4011" s="79"/>
    </row>
    <row r="4012" spans="7:22" x14ac:dyDescent="0.2">
      <c r="G4012" s="79"/>
      <c r="J4012" s="79"/>
      <c r="M4012" s="104"/>
      <c r="P4012" s="79"/>
      <c r="S4012" s="79"/>
      <c r="V4012" s="79"/>
    </row>
    <row r="4013" spans="7:22" x14ac:dyDescent="0.2">
      <c r="G4013" s="79"/>
      <c r="J4013" s="79"/>
      <c r="M4013" s="104"/>
      <c r="P4013" s="79"/>
      <c r="S4013" s="79"/>
      <c r="V4013" s="79"/>
    </row>
    <row r="4014" spans="7:22" x14ac:dyDescent="0.2">
      <c r="G4014" s="79"/>
      <c r="J4014" s="79"/>
      <c r="M4014" s="104"/>
      <c r="P4014" s="79"/>
      <c r="S4014" s="79"/>
      <c r="V4014" s="79"/>
    </row>
    <row r="4015" spans="7:22" x14ac:dyDescent="0.2">
      <c r="G4015" s="79"/>
      <c r="J4015" s="79"/>
      <c r="M4015" s="104"/>
      <c r="P4015" s="79"/>
      <c r="S4015" s="79"/>
      <c r="V4015" s="79"/>
    </row>
    <row r="4016" spans="7:22" x14ac:dyDescent="0.2">
      <c r="G4016" s="79"/>
      <c r="J4016" s="79"/>
      <c r="M4016" s="104"/>
      <c r="P4016" s="79"/>
      <c r="S4016" s="79"/>
      <c r="V4016" s="79"/>
    </row>
    <row r="4017" spans="7:22" x14ac:dyDescent="0.2">
      <c r="G4017" s="79"/>
      <c r="J4017" s="79"/>
      <c r="M4017" s="104"/>
      <c r="P4017" s="79"/>
      <c r="S4017" s="79"/>
      <c r="V4017" s="79"/>
    </row>
    <row r="4018" spans="7:22" x14ac:dyDescent="0.2">
      <c r="G4018" s="79"/>
      <c r="J4018" s="79"/>
      <c r="M4018" s="104"/>
      <c r="P4018" s="79"/>
      <c r="S4018" s="79"/>
      <c r="V4018" s="79"/>
    </row>
    <row r="4019" spans="7:22" x14ac:dyDescent="0.2">
      <c r="G4019" s="79"/>
      <c r="J4019" s="79"/>
      <c r="M4019" s="104"/>
      <c r="P4019" s="79"/>
      <c r="S4019" s="79"/>
      <c r="V4019" s="79"/>
    </row>
    <row r="4020" spans="7:22" x14ac:dyDescent="0.2">
      <c r="G4020" s="79"/>
      <c r="J4020" s="79"/>
      <c r="M4020" s="104"/>
      <c r="P4020" s="79"/>
      <c r="S4020" s="79"/>
      <c r="V4020" s="79"/>
    </row>
    <row r="4021" spans="7:22" x14ac:dyDescent="0.2">
      <c r="G4021" s="79"/>
      <c r="J4021" s="79"/>
      <c r="M4021" s="104"/>
      <c r="P4021" s="79"/>
      <c r="S4021" s="79"/>
      <c r="V4021" s="79"/>
    </row>
    <row r="4022" spans="7:22" x14ac:dyDescent="0.2">
      <c r="G4022" s="79"/>
      <c r="J4022" s="79"/>
      <c r="M4022" s="104"/>
      <c r="P4022" s="79"/>
      <c r="S4022" s="79"/>
      <c r="V4022" s="79"/>
    </row>
    <row r="4023" spans="7:22" x14ac:dyDescent="0.2">
      <c r="G4023" s="79"/>
      <c r="J4023" s="79"/>
      <c r="M4023" s="104"/>
      <c r="P4023" s="79"/>
      <c r="S4023" s="79"/>
      <c r="V4023" s="79"/>
    </row>
    <row r="4024" spans="7:22" x14ac:dyDescent="0.2">
      <c r="G4024" s="79"/>
      <c r="J4024" s="79"/>
      <c r="M4024" s="104"/>
      <c r="P4024" s="79"/>
      <c r="S4024" s="79"/>
      <c r="V4024" s="79"/>
    </row>
    <row r="4025" spans="7:22" x14ac:dyDescent="0.2">
      <c r="G4025" s="79"/>
      <c r="J4025" s="79"/>
      <c r="M4025" s="104"/>
      <c r="P4025" s="79"/>
      <c r="S4025" s="79"/>
      <c r="V4025" s="79"/>
    </row>
    <row r="4026" spans="7:22" x14ac:dyDescent="0.2">
      <c r="G4026" s="79"/>
      <c r="J4026" s="79"/>
      <c r="M4026" s="104"/>
      <c r="P4026" s="79"/>
      <c r="S4026" s="79"/>
      <c r="V4026" s="79"/>
    </row>
    <row r="4027" spans="7:22" x14ac:dyDescent="0.2">
      <c r="G4027" s="79"/>
      <c r="J4027" s="79"/>
      <c r="M4027" s="104"/>
      <c r="P4027" s="79"/>
      <c r="S4027" s="79"/>
      <c r="V4027" s="79"/>
    </row>
    <row r="4028" spans="7:22" x14ac:dyDescent="0.2">
      <c r="G4028" s="79"/>
      <c r="J4028" s="79"/>
      <c r="M4028" s="104"/>
      <c r="P4028" s="79"/>
      <c r="S4028" s="79"/>
      <c r="V4028" s="79"/>
    </row>
    <row r="4029" spans="7:22" x14ac:dyDescent="0.2">
      <c r="G4029" s="79"/>
      <c r="J4029" s="79"/>
      <c r="M4029" s="104"/>
      <c r="P4029" s="79"/>
      <c r="S4029" s="79"/>
      <c r="V4029" s="79"/>
    </row>
    <row r="4030" spans="7:22" x14ac:dyDescent="0.2">
      <c r="G4030" s="79"/>
      <c r="J4030" s="79"/>
      <c r="M4030" s="104"/>
      <c r="P4030" s="79"/>
      <c r="S4030" s="79"/>
      <c r="V4030" s="79"/>
    </row>
    <row r="4031" spans="7:22" x14ac:dyDescent="0.2">
      <c r="G4031" s="79"/>
      <c r="J4031" s="79"/>
      <c r="M4031" s="104"/>
      <c r="P4031" s="79"/>
      <c r="S4031" s="79"/>
      <c r="V4031" s="79"/>
    </row>
    <row r="4032" spans="7:22" x14ac:dyDescent="0.2">
      <c r="G4032" s="79"/>
      <c r="J4032" s="79"/>
      <c r="M4032" s="104"/>
      <c r="P4032" s="79"/>
      <c r="S4032" s="79"/>
      <c r="V4032" s="79"/>
    </row>
    <row r="4033" spans="7:22" x14ac:dyDescent="0.2">
      <c r="G4033" s="79"/>
      <c r="J4033" s="79"/>
      <c r="M4033" s="104"/>
      <c r="P4033" s="79"/>
      <c r="S4033" s="79"/>
      <c r="V4033" s="79"/>
    </row>
    <row r="4034" spans="7:22" x14ac:dyDescent="0.2">
      <c r="G4034" s="79"/>
      <c r="J4034" s="79"/>
      <c r="M4034" s="104"/>
      <c r="P4034" s="79"/>
      <c r="S4034" s="79"/>
      <c r="V4034" s="79"/>
    </row>
    <row r="4035" spans="7:22" x14ac:dyDescent="0.2">
      <c r="G4035" s="79"/>
      <c r="J4035" s="79"/>
      <c r="M4035" s="104"/>
      <c r="P4035" s="79"/>
      <c r="S4035" s="79"/>
      <c r="V4035" s="79"/>
    </row>
    <row r="4036" spans="7:22" x14ac:dyDescent="0.2">
      <c r="G4036" s="79"/>
      <c r="J4036" s="79"/>
      <c r="M4036" s="104"/>
      <c r="P4036" s="79"/>
      <c r="S4036" s="79"/>
      <c r="V4036" s="79"/>
    </row>
    <row r="4037" spans="7:22" x14ac:dyDescent="0.2">
      <c r="G4037" s="79"/>
      <c r="J4037" s="79"/>
      <c r="M4037" s="104"/>
      <c r="P4037" s="79"/>
      <c r="S4037" s="79"/>
      <c r="V4037" s="79"/>
    </row>
    <row r="4038" spans="7:22" x14ac:dyDescent="0.2">
      <c r="G4038" s="79"/>
      <c r="J4038" s="79"/>
      <c r="M4038" s="104"/>
      <c r="P4038" s="79"/>
      <c r="S4038" s="79"/>
      <c r="V4038" s="79"/>
    </row>
    <row r="4039" spans="7:22" x14ac:dyDescent="0.2">
      <c r="G4039" s="79"/>
      <c r="J4039" s="79"/>
      <c r="M4039" s="104"/>
      <c r="P4039" s="79"/>
      <c r="S4039" s="79"/>
      <c r="V4039" s="79"/>
    </row>
    <row r="4040" spans="7:22" x14ac:dyDescent="0.2">
      <c r="G4040" s="79"/>
      <c r="J4040" s="79"/>
      <c r="M4040" s="104"/>
      <c r="P4040" s="79"/>
      <c r="S4040" s="79"/>
      <c r="V4040" s="79"/>
    </row>
    <row r="4041" spans="7:22" x14ac:dyDescent="0.2">
      <c r="G4041" s="79"/>
      <c r="J4041" s="79"/>
      <c r="M4041" s="104"/>
      <c r="P4041" s="79"/>
      <c r="S4041" s="79"/>
      <c r="V4041" s="79"/>
    </row>
    <row r="4042" spans="7:22" x14ac:dyDescent="0.2">
      <c r="G4042" s="79"/>
      <c r="J4042" s="79"/>
      <c r="M4042" s="104"/>
      <c r="P4042" s="79"/>
      <c r="S4042" s="79"/>
      <c r="V4042" s="79"/>
    </row>
    <row r="4043" spans="7:22" x14ac:dyDescent="0.2">
      <c r="G4043" s="79"/>
      <c r="J4043" s="79"/>
      <c r="M4043" s="104"/>
      <c r="P4043" s="79"/>
      <c r="S4043" s="79"/>
      <c r="V4043" s="79"/>
    </row>
    <row r="4044" spans="7:22" x14ac:dyDescent="0.2">
      <c r="G4044" s="79"/>
      <c r="J4044" s="79"/>
      <c r="M4044" s="104"/>
      <c r="P4044" s="79"/>
      <c r="S4044" s="79"/>
      <c r="V4044" s="79"/>
    </row>
    <row r="4045" spans="7:22" x14ac:dyDescent="0.2">
      <c r="G4045" s="79"/>
      <c r="J4045" s="79"/>
      <c r="M4045" s="104"/>
      <c r="P4045" s="79"/>
      <c r="S4045" s="79"/>
      <c r="V4045" s="79"/>
    </row>
    <row r="4046" spans="7:22" x14ac:dyDescent="0.2">
      <c r="G4046" s="79"/>
      <c r="J4046" s="79"/>
      <c r="M4046" s="104"/>
      <c r="P4046" s="79"/>
      <c r="S4046" s="79"/>
      <c r="V4046" s="79"/>
    </row>
    <row r="4047" spans="7:22" x14ac:dyDescent="0.2">
      <c r="G4047" s="79"/>
      <c r="J4047" s="79"/>
      <c r="M4047" s="104"/>
      <c r="P4047" s="79"/>
      <c r="S4047" s="79"/>
      <c r="V4047" s="79"/>
    </row>
    <row r="4048" spans="7:22" x14ac:dyDescent="0.2">
      <c r="G4048" s="79"/>
      <c r="J4048" s="79"/>
      <c r="M4048" s="104"/>
      <c r="P4048" s="79"/>
      <c r="S4048" s="79"/>
      <c r="V4048" s="79"/>
    </row>
    <row r="4049" spans="7:22" x14ac:dyDescent="0.2">
      <c r="G4049" s="79"/>
      <c r="J4049" s="79"/>
      <c r="M4049" s="104"/>
      <c r="P4049" s="79"/>
      <c r="S4049" s="79"/>
      <c r="V4049" s="79"/>
    </row>
    <row r="4050" spans="7:22" x14ac:dyDescent="0.2">
      <c r="G4050" s="79"/>
      <c r="J4050" s="79"/>
      <c r="M4050" s="104"/>
      <c r="P4050" s="79"/>
      <c r="S4050" s="79"/>
      <c r="V4050" s="79"/>
    </row>
    <row r="4051" spans="7:22" x14ac:dyDescent="0.2">
      <c r="G4051" s="79"/>
      <c r="J4051" s="79"/>
      <c r="M4051" s="104"/>
      <c r="P4051" s="79"/>
      <c r="S4051" s="79"/>
      <c r="V4051" s="79"/>
    </row>
    <row r="4052" spans="7:22" x14ac:dyDescent="0.2">
      <c r="G4052" s="79"/>
      <c r="J4052" s="79"/>
      <c r="M4052" s="104"/>
      <c r="P4052" s="79"/>
      <c r="S4052" s="79"/>
      <c r="V4052" s="79"/>
    </row>
    <row r="4053" spans="7:22" x14ac:dyDescent="0.2">
      <c r="G4053" s="79"/>
      <c r="J4053" s="79"/>
      <c r="M4053" s="104"/>
      <c r="P4053" s="79"/>
      <c r="S4053" s="79"/>
      <c r="V4053" s="79"/>
    </row>
    <row r="4054" spans="7:22" x14ac:dyDescent="0.2">
      <c r="G4054" s="79"/>
      <c r="J4054" s="79"/>
      <c r="M4054" s="104"/>
      <c r="P4054" s="79"/>
      <c r="S4054" s="79"/>
      <c r="V4054" s="79"/>
    </row>
    <row r="4055" spans="7:22" x14ac:dyDescent="0.2">
      <c r="G4055" s="79"/>
      <c r="J4055" s="79"/>
      <c r="M4055" s="104"/>
      <c r="P4055" s="79"/>
      <c r="S4055" s="79"/>
      <c r="V4055" s="79"/>
    </row>
    <row r="4056" spans="7:22" x14ac:dyDescent="0.2">
      <c r="G4056" s="79"/>
      <c r="J4056" s="79"/>
      <c r="M4056" s="104"/>
      <c r="P4056" s="79"/>
      <c r="S4056" s="79"/>
      <c r="V4056" s="79"/>
    </row>
    <row r="4057" spans="7:22" x14ac:dyDescent="0.2">
      <c r="G4057" s="79"/>
      <c r="J4057" s="79"/>
      <c r="M4057" s="104"/>
      <c r="P4057" s="79"/>
      <c r="S4057" s="79"/>
      <c r="V4057" s="79"/>
    </row>
    <row r="4058" spans="7:22" x14ac:dyDescent="0.2">
      <c r="G4058" s="79"/>
      <c r="J4058" s="79"/>
      <c r="M4058" s="104"/>
      <c r="P4058" s="79"/>
      <c r="S4058" s="79"/>
      <c r="V4058" s="79"/>
    </row>
    <row r="4059" spans="7:22" x14ac:dyDescent="0.2">
      <c r="G4059" s="79"/>
      <c r="J4059" s="79"/>
      <c r="M4059" s="104"/>
      <c r="P4059" s="79"/>
      <c r="S4059" s="79"/>
      <c r="V4059" s="79"/>
    </row>
    <row r="4060" spans="7:22" x14ac:dyDescent="0.2">
      <c r="G4060" s="79"/>
      <c r="J4060" s="79"/>
      <c r="M4060" s="104"/>
      <c r="P4060" s="79"/>
      <c r="S4060" s="79"/>
      <c r="V4060" s="79"/>
    </row>
    <row r="4061" spans="7:22" x14ac:dyDescent="0.2">
      <c r="G4061" s="79"/>
      <c r="J4061" s="79"/>
      <c r="M4061" s="104"/>
      <c r="P4061" s="79"/>
      <c r="S4061" s="79"/>
      <c r="V4061" s="79"/>
    </row>
    <row r="4062" spans="7:22" x14ac:dyDescent="0.2">
      <c r="G4062" s="79"/>
      <c r="J4062" s="79"/>
      <c r="M4062" s="104"/>
      <c r="P4062" s="79"/>
      <c r="S4062" s="79"/>
      <c r="V4062" s="79"/>
    </row>
    <row r="4063" spans="7:22" x14ac:dyDescent="0.2">
      <c r="G4063" s="79"/>
      <c r="J4063" s="79"/>
      <c r="M4063" s="104"/>
      <c r="P4063" s="79"/>
      <c r="S4063" s="79"/>
      <c r="V4063" s="79"/>
    </row>
    <row r="4064" spans="7:22" x14ac:dyDescent="0.2">
      <c r="G4064" s="79"/>
      <c r="J4064" s="79"/>
      <c r="M4064" s="104"/>
      <c r="P4064" s="79"/>
      <c r="S4064" s="79"/>
      <c r="V4064" s="79"/>
    </row>
    <row r="4065" spans="7:22" x14ac:dyDescent="0.2">
      <c r="G4065" s="79"/>
      <c r="J4065" s="79"/>
      <c r="M4065" s="104"/>
      <c r="P4065" s="79"/>
      <c r="S4065" s="79"/>
      <c r="V4065" s="79"/>
    </row>
    <row r="4066" spans="7:22" x14ac:dyDescent="0.2">
      <c r="G4066" s="79"/>
      <c r="J4066" s="79"/>
      <c r="M4066" s="104"/>
      <c r="P4066" s="79"/>
      <c r="S4066" s="79"/>
      <c r="V4066" s="79"/>
    </row>
    <row r="4067" spans="7:22" x14ac:dyDescent="0.2">
      <c r="G4067" s="79"/>
      <c r="J4067" s="79"/>
      <c r="M4067" s="104"/>
      <c r="P4067" s="79"/>
      <c r="S4067" s="79"/>
      <c r="V4067" s="79"/>
    </row>
    <row r="4068" spans="7:22" x14ac:dyDescent="0.2">
      <c r="G4068" s="79"/>
      <c r="J4068" s="79"/>
      <c r="M4068" s="104"/>
      <c r="P4068" s="79"/>
      <c r="S4068" s="79"/>
      <c r="V4068" s="79"/>
    </row>
    <row r="4069" spans="7:22" x14ac:dyDescent="0.2">
      <c r="G4069" s="79"/>
      <c r="J4069" s="79"/>
      <c r="M4069" s="104"/>
      <c r="P4069" s="79"/>
      <c r="S4069" s="79"/>
      <c r="V4069" s="79"/>
    </row>
    <row r="4070" spans="7:22" x14ac:dyDescent="0.2">
      <c r="G4070" s="79"/>
      <c r="J4070" s="79"/>
      <c r="M4070" s="104"/>
      <c r="P4070" s="79"/>
      <c r="S4070" s="79"/>
      <c r="V4070" s="79"/>
    </row>
    <row r="4071" spans="7:22" x14ac:dyDescent="0.2">
      <c r="G4071" s="79"/>
      <c r="J4071" s="79"/>
      <c r="M4071" s="104"/>
      <c r="P4071" s="79"/>
      <c r="S4071" s="79"/>
      <c r="V4071" s="79"/>
    </row>
    <row r="4072" spans="7:22" x14ac:dyDescent="0.2">
      <c r="G4072" s="79"/>
      <c r="J4072" s="79"/>
      <c r="M4072" s="104"/>
      <c r="P4072" s="79"/>
      <c r="S4072" s="79"/>
      <c r="V4072" s="79"/>
    </row>
    <row r="4073" spans="7:22" x14ac:dyDescent="0.2">
      <c r="G4073" s="79"/>
      <c r="J4073" s="79"/>
      <c r="M4073" s="104"/>
      <c r="P4073" s="79"/>
      <c r="S4073" s="79"/>
      <c r="V4073" s="79"/>
    </row>
    <row r="4074" spans="7:22" x14ac:dyDescent="0.2">
      <c r="G4074" s="79"/>
      <c r="J4074" s="79"/>
      <c r="M4074" s="104"/>
      <c r="P4074" s="79"/>
      <c r="S4074" s="79"/>
      <c r="V4074" s="79"/>
    </row>
    <row r="4075" spans="7:22" x14ac:dyDescent="0.2">
      <c r="G4075" s="79"/>
      <c r="J4075" s="79"/>
      <c r="M4075" s="104"/>
      <c r="P4075" s="79"/>
      <c r="S4075" s="79"/>
      <c r="V4075" s="79"/>
    </row>
    <row r="4076" spans="7:22" x14ac:dyDescent="0.2">
      <c r="G4076" s="79"/>
      <c r="J4076" s="79"/>
      <c r="M4076" s="104"/>
      <c r="P4076" s="79"/>
      <c r="S4076" s="79"/>
      <c r="V4076" s="79"/>
    </row>
    <row r="4077" spans="7:22" x14ac:dyDescent="0.2">
      <c r="G4077" s="79"/>
      <c r="J4077" s="79"/>
      <c r="M4077" s="104"/>
      <c r="P4077" s="79"/>
      <c r="S4077" s="79"/>
      <c r="V4077" s="79"/>
    </row>
    <row r="4078" spans="7:22" x14ac:dyDescent="0.2">
      <c r="G4078" s="79"/>
      <c r="J4078" s="79"/>
      <c r="M4078" s="104"/>
      <c r="P4078" s="79"/>
      <c r="S4078" s="79"/>
      <c r="V4078" s="79"/>
    </row>
    <row r="4079" spans="7:22" x14ac:dyDescent="0.2">
      <c r="G4079" s="79"/>
      <c r="J4079" s="79"/>
      <c r="M4079" s="104"/>
      <c r="P4079" s="79"/>
      <c r="S4079" s="79"/>
      <c r="V4079" s="79"/>
    </row>
    <row r="4080" spans="7:22" x14ac:dyDescent="0.2">
      <c r="G4080" s="79"/>
      <c r="J4080" s="79"/>
      <c r="M4080" s="104"/>
      <c r="P4080" s="79"/>
      <c r="S4080" s="79"/>
      <c r="V4080" s="79"/>
    </row>
    <row r="4081" spans="7:22" x14ac:dyDescent="0.2">
      <c r="G4081" s="79"/>
      <c r="J4081" s="79"/>
      <c r="M4081" s="104"/>
      <c r="P4081" s="79"/>
      <c r="S4081" s="79"/>
      <c r="V4081" s="79"/>
    </row>
    <row r="4082" spans="7:22" x14ac:dyDescent="0.2">
      <c r="G4082" s="79"/>
      <c r="J4082" s="79"/>
      <c r="M4082" s="104"/>
      <c r="P4082" s="79"/>
      <c r="S4082" s="79"/>
      <c r="V4082" s="79"/>
    </row>
    <row r="4083" spans="7:22" x14ac:dyDescent="0.2">
      <c r="G4083" s="79"/>
      <c r="J4083" s="79"/>
      <c r="M4083" s="104"/>
      <c r="P4083" s="79"/>
      <c r="S4083" s="79"/>
      <c r="V4083" s="79"/>
    </row>
    <row r="4084" spans="7:22" x14ac:dyDescent="0.2">
      <c r="G4084" s="79"/>
      <c r="J4084" s="79"/>
      <c r="M4084" s="104"/>
      <c r="P4084" s="79"/>
      <c r="S4084" s="79"/>
      <c r="V4084" s="79"/>
    </row>
    <row r="4085" spans="7:22" x14ac:dyDescent="0.2">
      <c r="G4085" s="79"/>
      <c r="J4085" s="79"/>
      <c r="M4085" s="104"/>
      <c r="P4085" s="79"/>
      <c r="S4085" s="79"/>
      <c r="V4085" s="79"/>
    </row>
    <row r="4086" spans="7:22" x14ac:dyDescent="0.2">
      <c r="G4086" s="79"/>
      <c r="J4086" s="79"/>
      <c r="M4086" s="104"/>
      <c r="P4086" s="79"/>
      <c r="S4086" s="79"/>
      <c r="V4086" s="79"/>
    </row>
    <row r="4087" spans="7:22" x14ac:dyDescent="0.2">
      <c r="G4087" s="79"/>
      <c r="J4087" s="79"/>
      <c r="M4087" s="104"/>
      <c r="P4087" s="79"/>
      <c r="S4087" s="79"/>
      <c r="V4087" s="79"/>
    </row>
    <row r="4088" spans="7:22" x14ac:dyDescent="0.2">
      <c r="G4088" s="79"/>
      <c r="J4088" s="79"/>
      <c r="M4088" s="104"/>
      <c r="P4088" s="79"/>
      <c r="S4088" s="79"/>
      <c r="V4088" s="79"/>
    </row>
    <row r="4089" spans="7:22" x14ac:dyDescent="0.2">
      <c r="G4089" s="79"/>
      <c r="J4089" s="79"/>
      <c r="M4089" s="104"/>
      <c r="P4089" s="79"/>
      <c r="S4089" s="79"/>
      <c r="V4089" s="79"/>
    </row>
    <row r="4090" spans="7:22" x14ac:dyDescent="0.2">
      <c r="G4090" s="79"/>
      <c r="J4090" s="79"/>
      <c r="M4090" s="104"/>
      <c r="P4090" s="79"/>
      <c r="S4090" s="79"/>
      <c r="V4090" s="79"/>
    </row>
    <row r="4091" spans="7:22" x14ac:dyDescent="0.2">
      <c r="G4091" s="79"/>
      <c r="J4091" s="79"/>
      <c r="M4091" s="104"/>
      <c r="P4091" s="79"/>
      <c r="S4091" s="79"/>
      <c r="V4091" s="79"/>
    </row>
    <row r="4092" spans="7:22" x14ac:dyDescent="0.2">
      <c r="G4092" s="79"/>
      <c r="J4092" s="79"/>
      <c r="M4092" s="104"/>
      <c r="P4092" s="79"/>
      <c r="S4092" s="79"/>
      <c r="V4092" s="79"/>
    </row>
    <row r="4093" spans="7:22" x14ac:dyDescent="0.2">
      <c r="G4093" s="79"/>
      <c r="J4093" s="79"/>
      <c r="M4093" s="104"/>
      <c r="P4093" s="79"/>
      <c r="S4093" s="79"/>
      <c r="V4093" s="79"/>
    </row>
    <row r="4094" spans="7:22" x14ac:dyDescent="0.2">
      <c r="G4094" s="79"/>
      <c r="J4094" s="79"/>
      <c r="M4094" s="104"/>
      <c r="P4094" s="79"/>
      <c r="S4094" s="79"/>
      <c r="V4094" s="79"/>
    </row>
    <row r="4095" spans="7:22" x14ac:dyDescent="0.2">
      <c r="G4095" s="79"/>
      <c r="J4095" s="79"/>
      <c r="M4095" s="104"/>
      <c r="P4095" s="79"/>
      <c r="S4095" s="79"/>
      <c r="V4095" s="79"/>
    </row>
    <row r="4096" spans="7:22" x14ac:dyDescent="0.2">
      <c r="G4096" s="79"/>
      <c r="J4096" s="79"/>
      <c r="M4096" s="104"/>
      <c r="P4096" s="79"/>
      <c r="S4096" s="79"/>
      <c r="V4096" s="79"/>
    </row>
    <row r="4097" spans="7:22" x14ac:dyDescent="0.2">
      <c r="G4097" s="79"/>
      <c r="J4097" s="79"/>
      <c r="M4097" s="104"/>
      <c r="P4097" s="79"/>
      <c r="S4097" s="79"/>
      <c r="V4097" s="79"/>
    </row>
    <row r="4098" spans="7:22" x14ac:dyDescent="0.2">
      <c r="G4098" s="79"/>
      <c r="J4098" s="79"/>
      <c r="M4098" s="104"/>
      <c r="P4098" s="79"/>
      <c r="S4098" s="79"/>
      <c r="V4098" s="79"/>
    </row>
    <row r="4099" spans="7:22" x14ac:dyDescent="0.2">
      <c r="G4099" s="79"/>
      <c r="J4099" s="79"/>
      <c r="M4099" s="104"/>
      <c r="P4099" s="79"/>
      <c r="S4099" s="79"/>
      <c r="V4099" s="79"/>
    </row>
    <row r="4100" spans="7:22" x14ac:dyDescent="0.2">
      <c r="G4100" s="79"/>
      <c r="J4100" s="79"/>
      <c r="M4100" s="104"/>
      <c r="P4100" s="79"/>
      <c r="S4100" s="79"/>
      <c r="V4100" s="79"/>
    </row>
    <row r="4101" spans="7:22" x14ac:dyDescent="0.2">
      <c r="G4101" s="79"/>
      <c r="J4101" s="79"/>
      <c r="M4101" s="104"/>
      <c r="P4101" s="79"/>
      <c r="S4101" s="79"/>
      <c r="V4101" s="79"/>
    </row>
    <row r="4102" spans="7:22" x14ac:dyDescent="0.2">
      <c r="G4102" s="79"/>
      <c r="J4102" s="79"/>
      <c r="M4102" s="104"/>
      <c r="P4102" s="79"/>
      <c r="S4102" s="79"/>
      <c r="V4102" s="79"/>
    </row>
    <row r="4103" spans="7:22" x14ac:dyDescent="0.2">
      <c r="G4103" s="79"/>
      <c r="J4103" s="79"/>
      <c r="M4103" s="104"/>
      <c r="P4103" s="79"/>
      <c r="S4103" s="79"/>
      <c r="V4103" s="79"/>
    </row>
    <row r="4104" spans="7:22" x14ac:dyDescent="0.2">
      <c r="G4104" s="79"/>
      <c r="J4104" s="79"/>
      <c r="M4104" s="104"/>
      <c r="P4104" s="79"/>
      <c r="S4104" s="79"/>
      <c r="V4104" s="79"/>
    </row>
    <row r="4105" spans="7:22" x14ac:dyDescent="0.2">
      <c r="G4105" s="79"/>
      <c r="J4105" s="79"/>
      <c r="M4105" s="104"/>
      <c r="P4105" s="79"/>
      <c r="S4105" s="79"/>
      <c r="V4105" s="79"/>
    </row>
    <row r="4106" spans="7:22" x14ac:dyDescent="0.2">
      <c r="G4106" s="79"/>
      <c r="J4106" s="79"/>
      <c r="M4106" s="104"/>
      <c r="P4106" s="79"/>
      <c r="S4106" s="79"/>
      <c r="V4106" s="79"/>
    </row>
    <row r="4107" spans="7:22" x14ac:dyDescent="0.2">
      <c r="G4107" s="79"/>
      <c r="J4107" s="79"/>
      <c r="M4107" s="104"/>
      <c r="P4107" s="79"/>
      <c r="S4107" s="79"/>
      <c r="V4107" s="79"/>
    </row>
    <row r="4108" spans="7:22" x14ac:dyDescent="0.2">
      <c r="G4108" s="79"/>
      <c r="J4108" s="79"/>
      <c r="M4108" s="104"/>
      <c r="P4108" s="79"/>
      <c r="S4108" s="79"/>
      <c r="V4108" s="79"/>
    </row>
    <row r="4109" spans="7:22" x14ac:dyDescent="0.2">
      <c r="G4109" s="79"/>
      <c r="J4109" s="79"/>
      <c r="M4109" s="104"/>
      <c r="P4109" s="79"/>
      <c r="S4109" s="79"/>
      <c r="V4109" s="79"/>
    </row>
    <row r="4110" spans="7:22" x14ac:dyDescent="0.2">
      <c r="G4110" s="79"/>
      <c r="J4110" s="79"/>
      <c r="M4110" s="104"/>
      <c r="P4110" s="79"/>
      <c r="S4110" s="79"/>
      <c r="V4110" s="79"/>
    </row>
    <row r="4111" spans="7:22" x14ac:dyDescent="0.2">
      <c r="G4111" s="79"/>
      <c r="J4111" s="79"/>
      <c r="M4111" s="104"/>
      <c r="P4111" s="79"/>
      <c r="S4111" s="79"/>
      <c r="V4111" s="79"/>
    </row>
    <row r="4112" spans="7:22" x14ac:dyDescent="0.2">
      <c r="G4112" s="79"/>
      <c r="J4112" s="79"/>
      <c r="M4112" s="104"/>
      <c r="P4112" s="79"/>
      <c r="S4112" s="79"/>
      <c r="V4112" s="79"/>
    </row>
    <row r="4113" spans="7:22" x14ac:dyDescent="0.2">
      <c r="G4113" s="79"/>
      <c r="J4113" s="79"/>
      <c r="M4113" s="104"/>
      <c r="P4113" s="79"/>
      <c r="S4113" s="79"/>
      <c r="V4113" s="79"/>
    </row>
    <row r="4114" spans="7:22" x14ac:dyDescent="0.2">
      <c r="G4114" s="79"/>
      <c r="J4114" s="79"/>
      <c r="M4114" s="104"/>
      <c r="P4114" s="79"/>
      <c r="S4114" s="79"/>
      <c r="V4114" s="79"/>
    </row>
    <row r="4115" spans="7:22" x14ac:dyDescent="0.2">
      <c r="G4115" s="79"/>
      <c r="J4115" s="79"/>
      <c r="M4115" s="104"/>
      <c r="P4115" s="79"/>
      <c r="S4115" s="79"/>
      <c r="V4115" s="79"/>
    </row>
    <row r="4116" spans="7:22" x14ac:dyDescent="0.2">
      <c r="G4116" s="79"/>
      <c r="J4116" s="79"/>
      <c r="M4116" s="104"/>
      <c r="P4116" s="79"/>
      <c r="S4116" s="79"/>
      <c r="V4116" s="79"/>
    </row>
    <row r="4117" spans="7:22" x14ac:dyDescent="0.2">
      <c r="G4117" s="79"/>
      <c r="J4117" s="79"/>
      <c r="M4117" s="104"/>
      <c r="P4117" s="79"/>
      <c r="S4117" s="79"/>
      <c r="V4117" s="79"/>
    </row>
    <row r="4118" spans="7:22" x14ac:dyDescent="0.2">
      <c r="G4118" s="79"/>
      <c r="J4118" s="79"/>
      <c r="M4118" s="104"/>
      <c r="P4118" s="79"/>
      <c r="S4118" s="79"/>
      <c r="V4118" s="79"/>
    </row>
    <row r="4119" spans="7:22" x14ac:dyDescent="0.2">
      <c r="G4119" s="79"/>
      <c r="J4119" s="79"/>
      <c r="M4119" s="104"/>
      <c r="P4119" s="79"/>
      <c r="S4119" s="79"/>
      <c r="V4119" s="79"/>
    </row>
    <row r="4120" spans="7:22" x14ac:dyDescent="0.2">
      <c r="G4120" s="79"/>
      <c r="J4120" s="79"/>
      <c r="M4120" s="104"/>
      <c r="P4120" s="79"/>
      <c r="S4120" s="79"/>
      <c r="V4120" s="79"/>
    </row>
    <row r="4121" spans="7:22" x14ac:dyDescent="0.2">
      <c r="G4121" s="79"/>
      <c r="J4121" s="79"/>
      <c r="M4121" s="104"/>
      <c r="P4121" s="79"/>
      <c r="S4121" s="79"/>
      <c r="V4121" s="79"/>
    </row>
    <row r="4122" spans="7:22" x14ac:dyDescent="0.2">
      <c r="G4122" s="79"/>
      <c r="J4122" s="79"/>
      <c r="M4122" s="104"/>
      <c r="P4122" s="79"/>
      <c r="S4122" s="79"/>
      <c r="V4122" s="79"/>
    </row>
    <row r="4123" spans="7:22" x14ac:dyDescent="0.2">
      <c r="G4123" s="79"/>
      <c r="J4123" s="79"/>
      <c r="M4123" s="104"/>
      <c r="P4123" s="79"/>
      <c r="S4123" s="79"/>
      <c r="V4123" s="79"/>
    </row>
    <row r="4124" spans="7:22" x14ac:dyDescent="0.2">
      <c r="G4124" s="79"/>
      <c r="J4124" s="79"/>
      <c r="M4124" s="104"/>
      <c r="P4124" s="79"/>
      <c r="S4124" s="79"/>
      <c r="V4124" s="79"/>
    </row>
    <row r="4125" spans="7:22" x14ac:dyDescent="0.2">
      <c r="G4125" s="79"/>
      <c r="J4125" s="79"/>
      <c r="M4125" s="104"/>
      <c r="P4125" s="79"/>
      <c r="S4125" s="79"/>
      <c r="V4125" s="79"/>
    </row>
    <row r="4126" spans="7:22" x14ac:dyDescent="0.2">
      <c r="G4126" s="79"/>
      <c r="J4126" s="79"/>
      <c r="M4126" s="104"/>
      <c r="P4126" s="79"/>
      <c r="S4126" s="79"/>
      <c r="V4126" s="79"/>
    </row>
    <row r="4127" spans="7:22" x14ac:dyDescent="0.2">
      <c r="G4127" s="79"/>
      <c r="J4127" s="79"/>
      <c r="M4127" s="104"/>
      <c r="P4127" s="79"/>
      <c r="S4127" s="79"/>
      <c r="V4127" s="79"/>
    </row>
  </sheetData>
  <mergeCells count="11">
    <mergeCell ref="F4:G4"/>
    <mergeCell ref="I4:J4"/>
    <mergeCell ref="L4:M4"/>
    <mergeCell ref="O4:P4"/>
    <mergeCell ref="O3:P3"/>
    <mergeCell ref="R4:S4"/>
    <mergeCell ref="U2:V2"/>
    <mergeCell ref="U3:V3"/>
    <mergeCell ref="U4:V4"/>
    <mergeCell ref="R2:S2"/>
    <mergeCell ref="R3:S3"/>
  </mergeCells>
  <printOptions headings="1" gridLines="1"/>
  <pageMargins left="0.3" right="0.17" top="0.68" bottom="0.17" header="0.64" footer="0.24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92D050"/>
    <pageSetUpPr fitToPage="1"/>
  </sheetPr>
  <dimension ref="A1:H385"/>
  <sheetViews>
    <sheetView zoomScaleNormal="100" workbookViewId="0">
      <pane ySplit="7" topLeftCell="A8" activePane="bottomLeft" state="frozen"/>
      <selection activeCell="D380" sqref="D380"/>
      <selection pane="bottomLeft" activeCell="D380" sqref="D380"/>
    </sheetView>
  </sheetViews>
  <sheetFormatPr defaultColWidth="9.140625" defaultRowHeight="12.75" x14ac:dyDescent="0.2"/>
  <cols>
    <col min="1" max="1" width="0.28515625" style="2" customWidth="1"/>
    <col min="2" max="2" width="11.28515625" style="821" customWidth="1"/>
    <col min="3" max="3" width="9.85546875" style="816" customWidth="1"/>
    <col min="4" max="4" width="39.42578125" bestFit="1" customWidth="1"/>
    <col min="5" max="5" width="17" style="8" customWidth="1"/>
    <col min="6" max="8" width="17" customWidth="1"/>
    <col min="9" max="13" width="18.140625" customWidth="1"/>
    <col min="14" max="18" width="9.140625" customWidth="1"/>
    <col min="19" max="19" width="8.5703125" customWidth="1"/>
    <col min="20" max="24" width="9.140625" customWidth="1"/>
  </cols>
  <sheetData>
    <row r="1" spans="1:8" x14ac:dyDescent="0.2">
      <c r="E1" s="514"/>
      <c r="F1" s="647">
        <v>45343</v>
      </c>
    </row>
    <row r="2" spans="1:8" s="242" customFormat="1" ht="23.25" x14ac:dyDescent="0.35">
      <c r="A2" s="74" t="s">
        <v>51</v>
      </c>
      <c r="B2" s="80"/>
      <c r="C2" s="817"/>
      <c r="D2" s="74"/>
      <c r="E2" s="162"/>
    </row>
    <row r="3" spans="1:8" s="242" customFormat="1" ht="20.25" x14ac:dyDescent="0.3">
      <c r="A3" s="242" t="s">
        <v>0</v>
      </c>
      <c r="B3" s="80"/>
      <c r="C3" s="817"/>
      <c r="E3" s="16"/>
    </row>
    <row r="4" spans="1:8" s="242" customFormat="1" ht="24.75" customHeight="1" x14ac:dyDescent="0.3">
      <c r="A4" s="1"/>
      <c r="B4" s="100"/>
      <c r="C4" s="818"/>
      <c r="D4" s="1"/>
      <c r="E4" s="1"/>
    </row>
    <row r="5" spans="1:8" s="73" customFormat="1" ht="29.25" customHeight="1" x14ac:dyDescent="0.25">
      <c r="A5" s="244"/>
      <c r="B5" s="821"/>
      <c r="C5" s="816"/>
      <c r="E5" s="581" t="s">
        <v>759</v>
      </c>
      <c r="F5" s="606" t="s">
        <v>1305</v>
      </c>
      <c r="G5" s="733" t="s">
        <v>1305</v>
      </c>
      <c r="H5" s="771" t="s">
        <v>1305</v>
      </c>
    </row>
    <row r="6" spans="1:8" s="14" customFormat="1" ht="12.75" customHeight="1" x14ac:dyDescent="0.2">
      <c r="B6" s="822"/>
      <c r="C6" s="778"/>
      <c r="E6" s="582" t="s">
        <v>757</v>
      </c>
      <c r="F6" s="607" t="s">
        <v>734</v>
      </c>
      <c r="G6" s="734" t="s">
        <v>1416</v>
      </c>
      <c r="H6" s="772" t="s">
        <v>1430</v>
      </c>
    </row>
    <row r="7" spans="1:8" s="14" customFormat="1" x14ac:dyDescent="0.2">
      <c r="B7" s="822" t="s">
        <v>1</v>
      </c>
      <c r="C7" s="778"/>
      <c r="D7" s="14" t="s">
        <v>2</v>
      </c>
      <c r="E7" s="583" t="s">
        <v>3</v>
      </c>
      <c r="F7" s="608" t="s">
        <v>3</v>
      </c>
      <c r="G7" s="735" t="s">
        <v>3</v>
      </c>
      <c r="H7" s="762" t="s">
        <v>3</v>
      </c>
    </row>
    <row r="8" spans="1:8" s="14" customFormat="1" x14ac:dyDescent="0.2">
      <c r="B8" s="822"/>
      <c r="C8" s="778"/>
      <c r="E8" s="583"/>
      <c r="F8" s="608"/>
      <c r="G8" s="735"/>
      <c r="H8" s="762"/>
    </row>
    <row r="9" spans="1:8" x14ac:dyDescent="0.2">
      <c r="B9" s="782" t="s">
        <v>817</v>
      </c>
      <c r="C9" s="599" t="s">
        <v>821</v>
      </c>
      <c r="D9" t="s">
        <v>6</v>
      </c>
      <c r="E9" s="584">
        <v>132149</v>
      </c>
      <c r="F9" s="609">
        <v>132718</v>
      </c>
      <c r="G9" s="736">
        <v>132718</v>
      </c>
      <c r="H9" s="773">
        <v>132718</v>
      </c>
    </row>
    <row r="10" spans="1:8" x14ac:dyDescent="0.2">
      <c r="B10" s="782" t="s">
        <v>817</v>
      </c>
      <c r="C10" s="599" t="s">
        <v>820</v>
      </c>
      <c r="D10" t="s">
        <v>5</v>
      </c>
      <c r="E10" s="584">
        <v>12413</v>
      </c>
      <c r="F10" s="609">
        <v>12012</v>
      </c>
      <c r="G10" s="736">
        <v>13446</v>
      </c>
      <c r="H10" s="773">
        <v>13446</v>
      </c>
    </row>
    <row r="11" spans="1:8" x14ac:dyDescent="0.2">
      <c r="B11" s="782" t="s">
        <v>817</v>
      </c>
      <c r="C11" s="599" t="s">
        <v>819</v>
      </c>
      <c r="D11" t="s">
        <v>4</v>
      </c>
      <c r="E11" s="584">
        <v>275228</v>
      </c>
      <c r="F11" s="609">
        <v>308708</v>
      </c>
      <c r="G11" s="736">
        <v>310960</v>
      </c>
      <c r="H11" s="773">
        <v>310960</v>
      </c>
    </row>
    <row r="12" spans="1:8" x14ac:dyDescent="0.2">
      <c r="B12" s="782" t="s">
        <v>817</v>
      </c>
      <c r="C12" s="599" t="s">
        <v>818</v>
      </c>
      <c r="D12" t="s">
        <v>7</v>
      </c>
      <c r="E12" s="584">
        <v>445119</v>
      </c>
      <c r="F12" s="609">
        <v>478038</v>
      </c>
      <c r="G12" s="736">
        <v>492409</v>
      </c>
      <c r="H12" s="773">
        <v>492409</v>
      </c>
    </row>
    <row r="13" spans="1:8" x14ac:dyDescent="0.2">
      <c r="B13" s="782" t="s">
        <v>817</v>
      </c>
      <c r="C13" s="599" t="s">
        <v>816</v>
      </c>
      <c r="D13" t="s">
        <v>690</v>
      </c>
      <c r="E13" s="585">
        <v>8145</v>
      </c>
      <c r="F13" s="610">
        <v>0</v>
      </c>
      <c r="G13" s="737">
        <v>10069</v>
      </c>
      <c r="H13" s="774">
        <v>10069</v>
      </c>
    </row>
    <row r="14" spans="1:8" s="5" customFormat="1" x14ac:dyDescent="0.2">
      <c r="A14" s="251" t="s">
        <v>225</v>
      </c>
      <c r="B14" s="797"/>
      <c r="C14" s="779"/>
      <c r="D14" s="252"/>
      <c r="E14" s="586">
        <f t="shared" ref="E14" si="0">SUM(E9:E13)</f>
        <v>873054</v>
      </c>
      <c r="F14" s="611">
        <f t="shared" ref="F14:G14" si="1">SUM(F9:F13)</f>
        <v>931476</v>
      </c>
      <c r="G14" s="738">
        <f t="shared" si="1"/>
        <v>959602</v>
      </c>
      <c r="H14" s="775">
        <f t="shared" ref="H14" si="2">SUM(H9:H13)</f>
        <v>959602</v>
      </c>
    </row>
    <row r="15" spans="1:8" x14ac:dyDescent="0.2">
      <c r="E15" s="584"/>
      <c r="F15" s="609"/>
      <c r="G15" s="736"/>
      <c r="H15" s="773"/>
    </row>
    <row r="16" spans="1:8" x14ac:dyDescent="0.2">
      <c r="B16" s="783" t="s">
        <v>817</v>
      </c>
      <c r="C16" s="828" t="s">
        <v>822</v>
      </c>
      <c r="D16" t="s">
        <v>8</v>
      </c>
      <c r="E16" s="584">
        <v>1500</v>
      </c>
      <c r="F16" s="609">
        <v>1000</v>
      </c>
      <c r="G16" s="736">
        <v>2000</v>
      </c>
      <c r="H16" s="773">
        <v>12000</v>
      </c>
    </row>
    <row r="17" spans="1:8" s="5" customFormat="1" x14ac:dyDescent="0.2">
      <c r="A17" s="251" t="s">
        <v>226</v>
      </c>
      <c r="B17" s="797"/>
      <c r="C17" s="779"/>
      <c r="D17" s="252"/>
      <c r="E17" s="586">
        <f>SUM(E16)</f>
        <v>1500</v>
      </c>
      <c r="F17" s="611">
        <f t="shared" ref="F17:G17" si="3">SUM(F16)</f>
        <v>1000</v>
      </c>
      <c r="G17" s="738">
        <f t="shared" si="3"/>
        <v>2000</v>
      </c>
      <c r="H17" s="775">
        <f t="shared" ref="H17" si="4">SUM(H16)</f>
        <v>12000</v>
      </c>
    </row>
    <row r="18" spans="1:8" x14ac:dyDescent="0.2">
      <c r="E18" s="584"/>
      <c r="F18" s="609"/>
      <c r="G18" s="736"/>
      <c r="H18" s="773"/>
    </row>
    <row r="19" spans="1:8" x14ac:dyDescent="0.2">
      <c r="B19" s="783" t="s">
        <v>817</v>
      </c>
      <c r="C19" s="828" t="s">
        <v>823</v>
      </c>
      <c r="D19" s="9" t="s">
        <v>101</v>
      </c>
      <c r="E19" s="584">
        <v>26056</v>
      </c>
      <c r="F19" s="609">
        <v>20000</v>
      </c>
      <c r="G19" s="736">
        <v>20000</v>
      </c>
      <c r="H19" s="773">
        <v>20000</v>
      </c>
    </row>
    <row r="20" spans="1:8" x14ac:dyDescent="0.2">
      <c r="B20" s="783" t="s">
        <v>817</v>
      </c>
      <c r="C20" s="828" t="s">
        <v>825</v>
      </c>
      <c r="D20" s="9" t="s">
        <v>223</v>
      </c>
      <c r="E20" s="584">
        <v>6372</v>
      </c>
      <c r="F20" s="609">
        <v>2500</v>
      </c>
      <c r="G20" s="736">
        <v>1500</v>
      </c>
      <c r="H20" s="773">
        <v>2000</v>
      </c>
    </row>
    <row r="21" spans="1:8" x14ac:dyDescent="0.2">
      <c r="B21" s="783" t="s">
        <v>817</v>
      </c>
      <c r="C21" s="828" t="s">
        <v>824</v>
      </c>
      <c r="D21" s="9" t="s">
        <v>489</v>
      </c>
      <c r="E21" s="584">
        <v>0</v>
      </c>
      <c r="F21" s="609">
        <v>0</v>
      </c>
      <c r="G21" s="736">
        <v>0</v>
      </c>
      <c r="H21" s="773">
        <v>0</v>
      </c>
    </row>
    <row r="22" spans="1:8" s="5" customFormat="1" x14ac:dyDescent="0.2">
      <c r="A22" s="251" t="s">
        <v>224</v>
      </c>
      <c r="B22" s="797"/>
      <c r="C22" s="779"/>
      <c r="D22" s="252"/>
      <c r="E22" s="586">
        <f>SUM(E19:E21)</f>
        <v>32428</v>
      </c>
      <c r="F22" s="611">
        <f>SUM(F19:F21)</f>
        <v>22500</v>
      </c>
      <c r="G22" s="738">
        <f>SUM(G19:G21)</f>
        <v>21500</v>
      </c>
      <c r="H22" s="775">
        <f>SUM(H19:H21)</f>
        <v>22000</v>
      </c>
    </row>
    <row r="23" spans="1:8" s="5" customFormat="1" x14ac:dyDescent="0.2">
      <c r="A23" s="76"/>
      <c r="B23" s="798"/>
      <c r="C23" s="780"/>
      <c r="E23" s="584"/>
      <c r="F23" s="609"/>
      <c r="G23" s="736"/>
      <c r="H23" s="773"/>
    </row>
    <row r="24" spans="1:8" x14ac:dyDescent="0.2">
      <c r="B24" s="783" t="s">
        <v>817</v>
      </c>
      <c r="C24" s="828" t="s">
        <v>826</v>
      </c>
      <c r="D24" s="519" t="s">
        <v>1437</v>
      </c>
      <c r="E24" s="584">
        <v>3671</v>
      </c>
      <c r="F24" s="609">
        <v>3500</v>
      </c>
      <c r="G24" s="736">
        <v>3500</v>
      </c>
      <c r="H24" s="773">
        <v>3500</v>
      </c>
    </row>
    <row r="25" spans="1:8" x14ac:dyDescent="0.2">
      <c r="B25" s="783" t="s">
        <v>817</v>
      </c>
      <c r="C25" s="828" t="s">
        <v>828</v>
      </c>
      <c r="D25" s="519" t="s">
        <v>556</v>
      </c>
      <c r="E25" s="584">
        <v>18960</v>
      </c>
      <c r="F25" s="609">
        <v>4000</v>
      </c>
      <c r="G25" s="736">
        <v>4000</v>
      </c>
      <c r="H25" s="773">
        <v>8000</v>
      </c>
    </row>
    <row r="26" spans="1:8" x14ac:dyDescent="0.2">
      <c r="B26" s="783" t="s">
        <v>817</v>
      </c>
      <c r="C26" s="828" t="s">
        <v>831</v>
      </c>
      <c r="D26" t="s">
        <v>696</v>
      </c>
      <c r="E26" s="584">
        <v>4773</v>
      </c>
      <c r="F26" s="609">
        <v>0</v>
      </c>
      <c r="G26" s="736">
        <v>4127</v>
      </c>
      <c r="H26" s="773">
        <v>4127</v>
      </c>
    </row>
    <row r="27" spans="1:8" x14ac:dyDescent="0.2">
      <c r="B27" s="783" t="s">
        <v>817</v>
      </c>
      <c r="C27" s="828" t="s">
        <v>830</v>
      </c>
      <c r="D27" s="519" t="s">
        <v>1272</v>
      </c>
      <c r="E27" s="584">
        <v>4835</v>
      </c>
      <c r="F27" s="609">
        <v>0</v>
      </c>
      <c r="G27" s="736">
        <v>4835</v>
      </c>
      <c r="H27" s="773">
        <v>4835</v>
      </c>
    </row>
    <row r="28" spans="1:8" x14ac:dyDescent="0.2">
      <c r="B28" s="782" t="s">
        <v>817</v>
      </c>
      <c r="C28" s="599" t="s">
        <v>1235</v>
      </c>
      <c r="D28" s="519" t="s">
        <v>746</v>
      </c>
      <c r="E28" s="584">
        <v>2392</v>
      </c>
      <c r="F28" s="609">
        <v>0</v>
      </c>
      <c r="G28" s="736">
        <v>1246</v>
      </c>
      <c r="H28" s="773">
        <v>5343</v>
      </c>
    </row>
    <row r="29" spans="1:8" x14ac:dyDescent="0.2">
      <c r="B29" s="783" t="s">
        <v>817</v>
      </c>
      <c r="C29" s="828" t="s">
        <v>829</v>
      </c>
      <c r="D29" t="s">
        <v>9</v>
      </c>
      <c r="E29" s="584">
        <v>1401</v>
      </c>
      <c r="F29" s="609">
        <v>3000</v>
      </c>
      <c r="G29" s="736">
        <v>3000</v>
      </c>
      <c r="H29" s="773">
        <v>2000</v>
      </c>
    </row>
    <row r="30" spans="1:8" x14ac:dyDescent="0.2">
      <c r="B30" s="783" t="s">
        <v>817</v>
      </c>
      <c r="C30" s="828" t="s">
        <v>835</v>
      </c>
      <c r="D30" s="9" t="s">
        <v>726</v>
      </c>
      <c r="E30" s="584">
        <v>2401</v>
      </c>
      <c r="F30" s="609">
        <v>0</v>
      </c>
      <c r="G30" s="736">
        <v>1047</v>
      </c>
      <c r="H30" s="773">
        <v>1047</v>
      </c>
    </row>
    <row r="31" spans="1:8" x14ac:dyDescent="0.2">
      <c r="B31" s="783" t="s">
        <v>817</v>
      </c>
      <c r="C31" s="828" t="s">
        <v>832</v>
      </c>
      <c r="D31" s="519" t="s">
        <v>697</v>
      </c>
      <c r="E31" s="584">
        <v>8142</v>
      </c>
      <c r="F31" s="609">
        <v>0</v>
      </c>
      <c r="G31" s="736">
        <v>7596</v>
      </c>
      <c r="H31" s="773">
        <v>10096</v>
      </c>
    </row>
    <row r="32" spans="1:8" x14ac:dyDescent="0.2">
      <c r="B32" s="782" t="s">
        <v>817</v>
      </c>
      <c r="C32" s="599" t="s">
        <v>1234</v>
      </c>
      <c r="D32" s="519" t="s">
        <v>1438</v>
      </c>
      <c r="E32" s="584">
        <v>1340</v>
      </c>
      <c r="F32" s="609">
        <v>0</v>
      </c>
      <c r="G32" s="736">
        <v>1340</v>
      </c>
      <c r="H32" s="773">
        <v>1340</v>
      </c>
    </row>
    <row r="33" spans="1:8" x14ac:dyDescent="0.2">
      <c r="B33" s="783" t="s">
        <v>817</v>
      </c>
      <c r="C33" s="828" t="s">
        <v>836</v>
      </c>
      <c r="D33" s="9" t="s">
        <v>725</v>
      </c>
      <c r="E33" s="584">
        <v>2270</v>
      </c>
      <c r="F33" s="609">
        <v>1000</v>
      </c>
      <c r="G33" s="736">
        <v>6886</v>
      </c>
      <c r="H33" s="773">
        <v>6886</v>
      </c>
    </row>
    <row r="34" spans="1:8" x14ac:dyDescent="0.2">
      <c r="B34" s="783" t="s">
        <v>817</v>
      </c>
      <c r="C34" s="828" t="s">
        <v>834</v>
      </c>
      <c r="D34" s="9" t="s">
        <v>727</v>
      </c>
      <c r="E34" s="584">
        <v>0</v>
      </c>
      <c r="F34" s="609">
        <v>0</v>
      </c>
      <c r="G34" s="736">
        <v>0</v>
      </c>
      <c r="H34" s="773">
        <v>0</v>
      </c>
    </row>
    <row r="35" spans="1:8" x14ac:dyDescent="0.2">
      <c r="B35" s="783" t="s">
        <v>817</v>
      </c>
      <c r="C35" s="828" t="s">
        <v>833</v>
      </c>
      <c r="D35" s="9" t="s">
        <v>698</v>
      </c>
      <c r="E35" s="584">
        <v>775</v>
      </c>
      <c r="F35" s="609">
        <v>0</v>
      </c>
      <c r="G35" s="736">
        <v>753</v>
      </c>
      <c r="H35" s="773">
        <v>753</v>
      </c>
    </row>
    <row r="36" spans="1:8" x14ac:dyDescent="0.2">
      <c r="B36" s="783" t="s">
        <v>817</v>
      </c>
      <c r="C36" s="828" t="s">
        <v>827</v>
      </c>
      <c r="D36" t="s">
        <v>475</v>
      </c>
      <c r="E36" s="584">
        <v>30210</v>
      </c>
      <c r="F36" s="609">
        <v>25000</v>
      </c>
      <c r="G36" s="736">
        <v>25000</v>
      </c>
      <c r="H36" s="773">
        <v>30000</v>
      </c>
    </row>
    <row r="37" spans="1:8" x14ac:dyDescent="0.2">
      <c r="A37" s="759" t="s">
        <v>227</v>
      </c>
      <c r="B37" s="823"/>
      <c r="C37" s="806"/>
      <c r="D37" s="340"/>
      <c r="E37" s="586">
        <f>SUM(E24:E36)</f>
        <v>81170</v>
      </c>
      <c r="F37" s="611">
        <f>SUM(F24:F36)</f>
        <v>36500</v>
      </c>
      <c r="G37" s="738">
        <f>SUM(G24:G36)</f>
        <v>63330</v>
      </c>
      <c r="H37" s="775">
        <f>SUM(H24:H36)</f>
        <v>77927</v>
      </c>
    </row>
    <row r="38" spans="1:8" s="760" customFormat="1" x14ac:dyDescent="0.2">
      <c r="A38" s="627"/>
      <c r="B38" s="824"/>
      <c r="C38" s="819"/>
      <c r="D38" s="785"/>
      <c r="E38" s="584"/>
      <c r="F38" s="609"/>
      <c r="G38" s="736"/>
      <c r="H38" s="773"/>
    </row>
    <row r="39" spans="1:8" x14ac:dyDescent="0.2">
      <c r="B39" s="783" t="s">
        <v>869</v>
      </c>
      <c r="C39" s="828" t="s">
        <v>870</v>
      </c>
      <c r="D39" s="519" t="s">
        <v>1439</v>
      </c>
      <c r="E39" s="584">
        <v>656286</v>
      </c>
      <c r="F39" s="609">
        <v>618975</v>
      </c>
      <c r="G39" s="736">
        <v>521235</v>
      </c>
      <c r="H39" s="773">
        <v>490172</v>
      </c>
    </row>
    <row r="40" spans="1:8" ht="13.7" customHeight="1" x14ac:dyDescent="0.2">
      <c r="A40" s="10"/>
      <c r="B40" s="783" t="s">
        <v>869</v>
      </c>
      <c r="C40" s="828" t="s">
        <v>871</v>
      </c>
      <c r="D40" s="519" t="s">
        <v>1440</v>
      </c>
      <c r="E40" s="584">
        <v>1507227</v>
      </c>
      <c r="F40" s="609">
        <v>1331799</v>
      </c>
      <c r="G40" s="736">
        <v>1530153</v>
      </c>
      <c r="H40" s="773">
        <v>1574955</v>
      </c>
    </row>
    <row r="41" spans="1:8" ht="13.35" customHeight="1" x14ac:dyDescent="0.2">
      <c r="B41" s="782" t="s">
        <v>817</v>
      </c>
      <c r="C41" s="599">
        <v>311.10300000000001</v>
      </c>
      <c r="D41" s="758" t="s">
        <v>1431</v>
      </c>
      <c r="E41" s="584"/>
      <c r="F41" s="609"/>
      <c r="G41" s="736">
        <v>56260</v>
      </c>
      <c r="H41" s="773">
        <v>56260</v>
      </c>
    </row>
    <row r="42" spans="1:8" s="580" customFormat="1" ht="13.35" customHeight="1" x14ac:dyDescent="0.2">
      <c r="A42" s="2"/>
      <c r="B42" s="783" t="s">
        <v>869</v>
      </c>
      <c r="C42" s="828" t="s">
        <v>872</v>
      </c>
      <c r="D42" s="519" t="s">
        <v>1441</v>
      </c>
      <c r="E42" s="584">
        <v>18365</v>
      </c>
      <c r="F42" s="609">
        <v>15000</v>
      </c>
      <c r="G42" s="736">
        <v>19055</v>
      </c>
      <c r="H42" s="773">
        <v>18262</v>
      </c>
    </row>
    <row r="43" spans="1:8" s="760" customFormat="1" ht="13.35" customHeight="1" x14ac:dyDescent="0.2">
      <c r="A43" s="2"/>
      <c r="B43" s="783" t="s">
        <v>817</v>
      </c>
      <c r="C43" s="828">
        <v>311.10700000000003</v>
      </c>
      <c r="D43" s="519" t="s">
        <v>1442</v>
      </c>
      <c r="E43" s="584">
        <v>53394</v>
      </c>
      <c r="F43" s="609"/>
      <c r="G43" s="736"/>
      <c r="H43" s="773">
        <v>67942</v>
      </c>
    </row>
    <row r="44" spans="1:8" s="578" customFormat="1" x14ac:dyDescent="0.2">
      <c r="A44" s="2"/>
      <c r="B44" s="782">
        <v>1100000000</v>
      </c>
      <c r="C44" s="599">
        <v>311.108</v>
      </c>
      <c r="D44" s="519" t="s">
        <v>1443</v>
      </c>
      <c r="E44" s="584">
        <v>4000</v>
      </c>
      <c r="F44" s="609">
        <v>0</v>
      </c>
      <c r="G44" s="736">
        <v>29112</v>
      </c>
      <c r="H44" s="773">
        <v>1150</v>
      </c>
    </row>
    <row r="45" spans="1:8" x14ac:dyDescent="0.2">
      <c r="B45" s="782">
        <v>1100000223</v>
      </c>
      <c r="C45" s="599">
        <v>311.11</v>
      </c>
      <c r="D45" s="519" t="s">
        <v>1444</v>
      </c>
      <c r="E45" s="584">
        <v>79.42</v>
      </c>
      <c r="F45" s="609">
        <v>0</v>
      </c>
      <c r="G45" s="736">
        <v>1150</v>
      </c>
      <c r="H45" s="773">
        <v>56</v>
      </c>
    </row>
    <row r="46" spans="1:8" s="9" customFormat="1" x14ac:dyDescent="0.2">
      <c r="A46" s="2"/>
      <c r="B46" s="783" t="s">
        <v>874</v>
      </c>
      <c r="C46" s="828" t="s">
        <v>873</v>
      </c>
      <c r="D46" s="519" t="s">
        <v>1445</v>
      </c>
      <c r="E46" s="584">
        <v>8963</v>
      </c>
      <c r="F46" s="609">
        <v>8000</v>
      </c>
      <c r="G46" s="736">
        <v>9510</v>
      </c>
      <c r="H46" s="773">
        <v>9184</v>
      </c>
    </row>
    <row r="47" spans="1:8" x14ac:dyDescent="0.2">
      <c r="B47" s="783" t="s">
        <v>855</v>
      </c>
      <c r="C47" s="828" t="s">
        <v>875</v>
      </c>
      <c r="D47" s="519" t="s">
        <v>1446</v>
      </c>
      <c r="E47" s="584">
        <v>23530</v>
      </c>
      <c r="F47" s="609">
        <v>24000</v>
      </c>
      <c r="G47" s="736">
        <v>22993</v>
      </c>
      <c r="H47" s="773">
        <v>22993</v>
      </c>
    </row>
    <row r="48" spans="1:8" x14ac:dyDescent="0.2">
      <c r="B48" s="783" t="s">
        <v>855</v>
      </c>
      <c r="C48" s="828" t="s">
        <v>857</v>
      </c>
      <c r="D48" s="9" t="s">
        <v>584</v>
      </c>
      <c r="E48" s="584">
        <v>22280</v>
      </c>
      <c r="F48" s="609">
        <v>20000</v>
      </c>
      <c r="G48" s="736">
        <v>15016</v>
      </c>
      <c r="H48" s="773">
        <v>15016</v>
      </c>
    </row>
    <row r="49" spans="1:8" x14ac:dyDescent="0.2">
      <c r="B49" s="782">
        <v>1100000249</v>
      </c>
      <c r="C49" s="599">
        <v>312.11799999999999</v>
      </c>
      <c r="D49" s="519" t="s">
        <v>1273</v>
      </c>
      <c r="E49" s="584">
        <v>38770</v>
      </c>
      <c r="F49" s="609">
        <v>0</v>
      </c>
      <c r="G49" s="736">
        <v>7987</v>
      </c>
      <c r="H49" s="773">
        <v>7986</v>
      </c>
    </row>
    <row r="50" spans="1:8" x14ac:dyDescent="0.2">
      <c r="B50" s="782">
        <v>1100000316</v>
      </c>
      <c r="C50" s="599">
        <v>312.12099999999998</v>
      </c>
      <c r="D50" s="9" t="s">
        <v>747</v>
      </c>
      <c r="E50" s="584">
        <v>2900</v>
      </c>
      <c r="F50" s="609">
        <v>0</v>
      </c>
      <c r="G50" s="736">
        <v>0</v>
      </c>
      <c r="H50" s="773">
        <v>0</v>
      </c>
    </row>
    <row r="51" spans="1:8" x14ac:dyDescent="0.2">
      <c r="B51" s="783">
        <v>1100000244</v>
      </c>
      <c r="C51" s="828">
        <v>312.12299999999999</v>
      </c>
      <c r="D51" s="519" t="s">
        <v>1274</v>
      </c>
      <c r="E51" s="584">
        <v>38831</v>
      </c>
      <c r="F51" s="609">
        <v>0</v>
      </c>
      <c r="G51" s="736">
        <v>38966</v>
      </c>
      <c r="H51" s="773">
        <v>38966</v>
      </c>
    </row>
    <row r="52" spans="1:8" x14ac:dyDescent="0.2">
      <c r="B52" s="782" t="s">
        <v>1447</v>
      </c>
      <c r="C52" s="599">
        <v>312.12400000000002</v>
      </c>
      <c r="D52" s="519" t="s">
        <v>1275</v>
      </c>
      <c r="E52" s="584">
        <v>8374</v>
      </c>
      <c r="F52" s="609">
        <v>0</v>
      </c>
      <c r="G52" s="736">
        <v>4187</v>
      </c>
      <c r="H52" s="773">
        <v>4187</v>
      </c>
    </row>
    <row r="53" spans="1:8" s="732" customFormat="1" x14ac:dyDescent="0.2">
      <c r="A53" s="2"/>
      <c r="B53" s="782">
        <v>1100000000</v>
      </c>
      <c r="C53" s="599">
        <v>312.20499999999998</v>
      </c>
      <c r="D53" s="519" t="s">
        <v>1417</v>
      </c>
      <c r="E53" s="584"/>
      <c r="F53" s="609"/>
      <c r="G53" s="736">
        <v>9934</v>
      </c>
      <c r="H53" s="773">
        <v>9934</v>
      </c>
    </row>
    <row r="54" spans="1:8" s="732" customFormat="1" x14ac:dyDescent="0.2">
      <c r="A54" s="2"/>
      <c r="B54" s="782">
        <v>1100000000</v>
      </c>
      <c r="C54" s="599">
        <v>312.20600000000002</v>
      </c>
      <c r="D54" s="519" t="s">
        <v>1418</v>
      </c>
      <c r="E54" s="584"/>
      <c r="F54" s="609"/>
      <c r="G54" s="736">
        <v>2440</v>
      </c>
      <c r="H54" s="773">
        <v>0</v>
      </c>
    </row>
    <row r="55" spans="1:8" s="5" customFormat="1" x14ac:dyDescent="0.2">
      <c r="A55" s="251" t="s">
        <v>605</v>
      </c>
      <c r="B55" s="797"/>
      <c r="C55" s="779"/>
      <c r="D55" s="252"/>
      <c r="E55" s="586">
        <f>SUM(E39:E54)</f>
        <v>2382999.42</v>
      </c>
      <c r="F55" s="611">
        <f>SUM(F39:F54)</f>
        <v>2017774</v>
      </c>
      <c r="G55" s="738">
        <f>SUM(G39:G54)</f>
        <v>2267998</v>
      </c>
      <c r="H55" s="775">
        <f>SUM(H39:H54)</f>
        <v>2317063</v>
      </c>
    </row>
    <row r="56" spans="1:8" s="5" customFormat="1" ht="16.350000000000001" customHeight="1" x14ac:dyDescent="0.2">
      <c r="A56" s="76"/>
      <c r="B56" s="798"/>
      <c r="C56" s="780"/>
      <c r="E56" s="584"/>
      <c r="F56" s="609"/>
      <c r="G56" s="736"/>
      <c r="H56" s="773"/>
    </row>
    <row r="57" spans="1:8" s="760" customFormat="1" x14ac:dyDescent="0.2">
      <c r="A57" s="2"/>
      <c r="B57" s="783">
        <v>1100000000</v>
      </c>
      <c r="C57" s="828">
        <v>311.10899999999998</v>
      </c>
      <c r="D57" s="519" t="s">
        <v>1432</v>
      </c>
      <c r="E57" s="584"/>
      <c r="F57" s="609"/>
      <c r="G57" s="736"/>
      <c r="H57" s="773">
        <v>14412</v>
      </c>
    </row>
    <row r="58" spans="1:8" x14ac:dyDescent="0.2">
      <c r="B58" s="783">
        <v>1100120202</v>
      </c>
      <c r="C58" s="828" t="s">
        <v>862</v>
      </c>
      <c r="D58" s="519" t="s">
        <v>1448</v>
      </c>
      <c r="E58" s="584">
        <v>90024</v>
      </c>
      <c r="F58" s="609">
        <v>75000</v>
      </c>
      <c r="G58" s="736">
        <v>86592</v>
      </c>
      <c r="H58" s="773">
        <v>86592</v>
      </c>
    </row>
    <row r="59" spans="1:8" x14ac:dyDescent="0.2">
      <c r="B59" s="783" t="s">
        <v>863</v>
      </c>
      <c r="C59" s="828" t="s">
        <v>864</v>
      </c>
      <c r="D59" s="9" t="s">
        <v>671</v>
      </c>
      <c r="E59" s="584">
        <v>0</v>
      </c>
      <c r="F59" s="609">
        <v>0</v>
      </c>
      <c r="G59" s="736">
        <v>0</v>
      </c>
      <c r="H59" s="773">
        <v>0</v>
      </c>
    </row>
    <row r="60" spans="1:8" s="580" customFormat="1" x14ac:dyDescent="0.2">
      <c r="A60" s="2"/>
      <c r="B60" s="783">
        <v>1100010340</v>
      </c>
      <c r="C60" s="828">
        <v>312.10500000000002</v>
      </c>
      <c r="D60" s="519" t="s">
        <v>1451</v>
      </c>
      <c r="E60" s="584"/>
      <c r="F60" s="609">
        <v>80000</v>
      </c>
      <c r="G60" s="736">
        <v>113000</v>
      </c>
      <c r="H60" s="773">
        <v>122763</v>
      </c>
    </row>
    <row r="61" spans="1:8" x14ac:dyDescent="0.2">
      <c r="B61" s="783" t="s">
        <v>858</v>
      </c>
      <c r="C61" s="828" t="s">
        <v>860</v>
      </c>
      <c r="D61" s="9" t="s">
        <v>588</v>
      </c>
      <c r="E61" s="584">
        <v>26320</v>
      </c>
      <c r="F61" s="609">
        <v>0</v>
      </c>
      <c r="G61" s="736">
        <v>55387</v>
      </c>
      <c r="H61" s="773">
        <v>55387</v>
      </c>
    </row>
    <row r="62" spans="1:8" x14ac:dyDescent="0.2">
      <c r="B62" s="783" t="s">
        <v>858</v>
      </c>
      <c r="C62" s="828" t="s">
        <v>859</v>
      </c>
      <c r="D62" s="9" t="s">
        <v>587</v>
      </c>
      <c r="E62" s="584">
        <v>188352</v>
      </c>
      <c r="F62" s="609">
        <v>159000</v>
      </c>
      <c r="G62" s="736">
        <v>187886</v>
      </c>
      <c r="H62" s="773">
        <v>187886</v>
      </c>
    </row>
    <row r="63" spans="1:8" x14ac:dyDescent="0.2">
      <c r="B63" s="783" t="s">
        <v>858</v>
      </c>
      <c r="C63" s="828" t="s">
        <v>861</v>
      </c>
      <c r="D63" s="519" t="s">
        <v>1449</v>
      </c>
      <c r="E63" s="584">
        <v>0</v>
      </c>
      <c r="F63" s="609">
        <v>0</v>
      </c>
      <c r="G63" s="736">
        <v>0</v>
      </c>
      <c r="H63" s="773">
        <v>0</v>
      </c>
    </row>
    <row r="64" spans="1:8" x14ac:dyDescent="0.2">
      <c r="B64" s="783" t="s">
        <v>865</v>
      </c>
      <c r="C64" s="828" t="s">
        <v>866</v>
      </c>
      <c r="D64" s="9" t="s">
        <v>589</v>
      </c>
      <c r="E64" s="584">
        <v>6061</v>
      </c>
      <c r="F64" s="609">
        <v>4000</v>
      </c>
      <c r="G64" s="736">
        <v>0</v>
      </c>
      <c r="H64" s="773">
        <v>0</v>
      </c>
    </row>
    <row r="65" spans="1:8" x14ac:dyDescent="0.2">
      <c r="B65" s="783" t="s">
        <v>855</v>
      </c>
      <c r="C65" s="828" t="s">
        <v>854</v>
      </c>
      <c r="D65" s="9" t="s">
        <v>615</v>
      </c>
      <c r="E65" s="584">
        <v>16137</v>
      </c>
      <c r="F65" s="609">
        <v>15000</v>
      </c>
      <c r="G65" s="736">
        <v>4638</v>
      </c>
      <c r="H65" s="773">
        <v>4638</v>
      </c>
    </row>
    <row r="66" spans="1:8" x14ac:dyDescent="0.2">
      <c r="B66" s="782">
        <v>1100250312</v>
      </c>
      <c r="C66" s="599">
        <v>312.11200000000002</v>
      </c>
      <c r="D66" s="9" t="s">
        <v>735</v>
      </c>
      <c r="E66" s="584">
        <v>0</v>
      </c>
      <c r="F66" s="609">
        <v>0</v>
      </c>
      <c r="G66" s="736">
        <v>0</v>
      </c>
      <c r="H66" s="773">
        <v>0</v>
      </c>
    </row>
    <row r="67" spans="1:8" x14ac:dyDescent="0.2">
      <c r="B67" s="783" t="s">
        <v>852</v>
      </c>
      <c r="C67" s="828" t="s">
        <v>853</v>
      </c>
      <c r="D67" s="9" t="s">
        <v>699</v>
      </c>
      <c r="E67" s="584">
        <v>6613</v>
      </c>
      <c r="F67" s="609">
        <v>3000</v>
      </c>
      <c r="G67" s="736">
        <v>0</v>
      </c>
      <c r="H67" s="773">
        <v>3706</v>
      </c>
    </row>
    <row r="68" spans="1:8" x14ac:dyDescent="0.2">
      <c r="B68" s="783" t="s">
        <v>852</v>
      </c>
      <c r="C68" s="828" t="s">
        <v>851</v>
      </c>
      <c r="D68" s="519" t="s">
        <v>1450</v>
      </c>
      <c r="E68" s="584">
        <v>8685</v>
      </c>
      <c r="F68" s="609">
        <v>0</v>
      </c>
      <c r="G68" s="736">
        <v>11433</v>
      </c>
      <c r="H68" s="773">
        <v>11433</v>
      </c>
    </row>
    <row r="69" spans="1:8" x14ac:dyDescent="0.2">
      <c r="B69" s="783" t="s">
        <v>855</v>
      </c>
      <c r="C69" s="828" t="s">
        <v>856</v>
      </c>
      <c r="D69" s="9" t="s">
        <v>586</v>
      </c>
      <c r="E69" s="584">
        <v>340287</v>
      </c>
      <c r="F69" s="609">
        <v>340287</v>
      </c>
      <c r="G69" s="736">
        <v>381618</v>
      </c>
      <c r="H69" s="773">
        <v>381618</v>
      </c>
    </row>
    <row r="70" spans="1:8" s="578" customFormat="1" x14ac:dyDescent="0.2">
      <c r="A70" s="2"/>
      <c r="B70" s="782">
        <v>1100000238</v>
      </c>
      <c r="C70" s="599">
        <v>312.11700000000002</v>
      </c>
      <c r="D70" s="519" t="s">
        <v>1238</v>
      </c>
      <c r="E70" s="584">
        <v>0</v>
      </c>
      <c r="F70" s="609">
        <v>0</v>
      </c>
      <c r="G70" s="736">
        <v>0</v>
      </c>
      <c r="H70" s="773">
        <v>0</v>
      </c>
    </row>
    <row r="71" spans="1:8" x14ac:dyDescent="0.2">
      <c r="B71" s="782">
        <v>1100000208</v>
      </c>
      <c r="C71" s="599">
        <v>312.11900000000003</v>
      </c>
      <c r="D71" s="9" t="s">
        <v>585</v>
      </c>
      <c r="E71" s="584">
        <v>198179</v>
      </c>
      <c r="F71" s="609">
        <v>0</v>
      </c>
      <c r="G71" s="736">
        <v>0</v>
      </c>
      <c r="H71" s="773">
        <v>0</v>
      </c>
    </row>
    <row r="72" spans="1:8" x14ac:dyDescent="0.2">
      <c r="B72" s="783" t="s">
        <v>817</v>
      </c>
      <c r="C72" s="828" t="s">
        <v>837</v>
      </c>
      <c r="D72" s="9" t="s">
        <v>654</v>
      </c>
      <c r="E72" s="584">
        <v>4078</v>
      </c>
      <c r="F72" s="609">
        <v>3000</v>
      </c>
      <c r="G72" s="736">
        <v>2538</v>
      </c>
      <c r="H72" s="773">
        <v>2538</v>
      </c>
    </row>
    <row r="73" spans="1:8" s="5" customFormat="1" x14ac:dyDescent="0.2">
      <c r="A73" s="251" t="s">
        <v>606</v>
      </c>
      <c r="B73" s="797"/>
      <c r="C73" s="779"/>
      <c r="D73" s="252"/>
      <c r="E73" s="586">
        <f t="shared" ref="E73:G73" si="5">SUM(E56:E72)</f>
        <v>884736</v>
      </c>
      <c r="F73" s="611">
        <f t="shared" si="5"/>
        <v>679287</v>
      </c>
      <c r="G73" s="738">
        <f t="shared" si="5"/>
        <v>843092</v>
      </c>
      <c r="H73" s="775">
        <f>SUM(H56:H72)</f>
        <v>870973</v>
      </c>
    </row>
    <row r="74" spans="1:8" s="5" customFormat="1" x14ac:dyDescent="0.2">
      <c r="A74" s="76"/>
      <c r="B74" s="798"/>
      <c r="C74" s="780"/>
      <c r="E74" s="584"/>
      <c r="F74" s="609"/>
      <c r="G74" s="736"/>
      <c r="H74" s="773"/>
    </row>
    <row r="75" spans="1:8" x14ac:dyDescent="0.2">
      <c r="B75" s="783" t="s">
        <v>839</v>
      </c>
      <c r="C75" s="828" t="s">
        <v>838</v>
      </c>
      <c r="D75" t="s">
        <v>10</v>
      </c>
      <c r="E75" s="584">
        <v>20839</v>
      </c>
      <c r="F75" s="609">
        <v>15000</v>
      </c>
      <c r="G75" s="736">
        <v>22000</v>
      </c>
      <c r="H75" s="773">
        <v>22000</v>
      </c>
    </row>
    <row r="76" spans="1:8" x14ac:dyDescent="0.2">
      <c r="B76" s="783" t="s">
        <v>841</v>
      </c>
      <c r="C76" s="828" t="s">
        <v>840</v>
      </c>
      <c r="D76" t="s">
        <v>11</v>
      </c>
      <c r="E76" s="584">
        <v>122265</v>
      </c>
      <c r="F76" s="609">
        <v>99728</v>
      </c>
      <c r="G76" s="736">
        <v>99728</v>
      </c>
      <c r="H76" s="773">
        <v>119040</v>
      </c>
    </row>
    <row r="77" spans="1:8" x14ac:dyDescent="0.2">
      <c r="B77" s="783" t="s">
        <v>845</v>
      </c>
      <c r="C77" s="828" t="s">
        <v>844</v>
      </c>
      <c r="D77" t="s">
        <v>12</v>
      </c>
      <c r="E77" s="584">
        <v>19880</v>
      </c>
      <c r="F77" s="609">
        <v>11287</v>
      </c>
      <c r="G77" s="736">
        <v>11287</v>
      </c>
      <c r="H77" s="773">
        <v>22465</v>
      </c>
    </row>
    <row r="78" spans="1:8" x14ac:dyDescent="0.2">
      <c r="B78" s="783">
        <v>1100000485</v>
      </c>
      <c r="C78" s="830" t="s">
        <v>1236</v>
      </c>
      <c r="D78" t="s">
        <v>708</v>
      </c>
      <c r="E78" s="584">
        <v>214340</v>
      </c>
      <c r="F78" s="609">
        <v>0</v>
      </c>
      <c r="G78" s="736">
        <v>0</v>
      </c>
      <c r="H78" s="773">
        <v>0</v>
      </c>
    </row>
    <row r="79" spans="1:8" x14ac:dyDescent="0.2">
      <c r="B79" s="783">
        <v>1100000435</v>
      </c>
      <c r="C79" s="830" t="s">
        <v>1237</v>
      </c>
      <c r="D79" t="s">
        <v>724</v>
      </c>
      <c r="E79" s="584">
        <v>854113</v>
      </c>
      <c r="F79" s="609">
        <v>0</v>
      </c>
      <c r="G79" s="736">
        <v>178708</v>
      </c>
      <c r="H79" s="773">
        <v>178708</v>
      </c>
    </row>
    <row r="80" spans="1:8" x14ac:dyDescent="0.2">
      <c r="B80" s="783" t="s">
        <v>843</v>
      </c>
      <c r="C80" s="828" t="s">
        <v>842</v>
      </c>
      <c r="D80" s="9" t="s">
        <v>652</v>
      </c>
      <c r="E80" s="584">
        <v>10000</v>
      </c>
      <c r="F80" s="609">
        <v>10000</v>
      </c>
      <c r="G80" s="736">
        <v>10000</v>
      </c>
      <c r="H80" s="773">
        <v>13392</v>
      </c>
    </row>
    <row r="81" spans="1:8" x14ac:dyDescent="0.2">
      <c r="B81" s="783" t="s">
        <v>849</v>
      </c>
      <c r="C81" s="828" t="s">
        <v>848</v>
      </c>
      <c r="D81" s="9" t="s">
        <v>687</v>
      </c>
      <c r="E81" s="584">
        <v>0</v>
      </c>
      <c r="F81" s="609">
        <v>0</v>
      </c>
      <c r="G81" s="736">
        <v>0</v>
      </c>
      <c r="H81" s="773">
        <v>0</v>
      </c>
    </row>
    <row r="82" spans="1:8" x14ac:dyDescent="0.2">
      <c r="B82" s="825">
        <v>1100000664</v>
      </c>
      <c r="C82" s="599">
        <v>414.11799999999999</v>
      </c>
      <c r="D82" t="s">
        <v>758</v>
      </c>
      <c r="E82" s="584">
        <v>628</v>
      </c>
      <c r="F82" s="609">
        <v>0</v>
      </c>
      <c r="G82" s="736">
        <v>0</v>
      </c>
      <c r="H82" s="773">
        <v>0</v>
      </c>
    </row>
    <row r="83" spans="1:8" x14ac:dyDescent="0.2">
      <c r="B83" s="783" t="s">
        <v>847</v>
      </c>
      <c r="C83" s="828" t="s">
        <v>846</v>
      </c>
      <c r="D83" t="s">
        <v>109</v>
      </c>
      <c r="E83" s="584">
        <v>197</v>
      </c>
      <c r="F83" s="609">
        <v>200</v>
      </c>
      <c r="G83" s="736">
        <v>200</v>
      </c>
      <c r="H83" s="773">
        <v>283</v>
      </c>
    </row>
    <row r="84" spans="1:8" s="5" customFormat="1" x14ac:dyDescent="0.2">
      <c r="A84" s="251" t="s">
        <v>228</v>
      </c>
      <c r="B84" s="797"/>
      <c r="C84" s="779"/>
      <c r="D84" s="252"/>
      <c r="E84" s="586">
        <f t="shared" ref="E84:G84" si="6">SUM(E74:E83)</f>
        <v>1242262</v>
      </c>
      <c r="F84" s="611">
        <f t="shared" si="6"/>
        <v>136215</v>
      </c>
      <c r="G84" s="738">
        <f t="shared" si="6"/>
        <v>321923</v>
      </c>
      <c r="H84" s="775">
        <f>SUM(H74:H83)</f>
        <v>355888</v>
      </c>
    </row>
    <row r="85" spans="1:8" s="5" customFormat="1" x14ac:dyDescent="0.2">
      <c r="A85" s="627"/>
      <c r="B85" s="800"/>
      <c r="C85" s="784"/>
      <c r="D85" s="628"/>
      <c r="E85" s="584"/>
      <c r="F85" s="609"/>
      <c r="G85" s="736"/>
      <c r="H85" s="773"/>
    </row>
    <row r="86" spans="1:8" s="732" customFormat="1" x14ac:dyDescent="0.2">
      <c r="A86" s="2"/>
      <c r="B86" s="783">
        <v>1100000000</v>
      </c>
      <c r="C86" s="828">
        <v>519.10199999999998</v>
      </c>
      <c r="D86" s="732" t="s">
        <v>691</v>
      </c>
      <c r="E86" s="584"/>
      <c r="F86" s="609"/>
      <c r="G86" s="736">
        <v>11000</v>
      </c>
      <c r="H86" s="773">
        <v>11000</v>
      </c>
    </row>
    <row r="87" spans="1:8" x14ac:dyDescent="0.2">
      <c r="B87" s="783" t="s">
        <v>817</v>
      </c>
      <c r="C87" s="828" t="s">
        <v>867</v>
      </c>
      <c r="D87" s="519" t="s">
        <v>1435</v>
      </c>
      <c r="E87" s="587">
        <v>11000</v>
      </c>
      <c r="F87" s="612">
        <v>11000</v>
      </c>
      <c r="G87" s="739">
        <v>12000</v>
      </c>
      <c r="H87" s="766">
        <v>12000</v>
      </c>
    </row>
    <row r="88" spans="1:8" s="760" customFormat="1" x14ac:dyDescent="0.2">
      <c r="A88" s="2"/>
      <c r="B88" s="783">
        <v>1100000000</v>
      </c>
      <c r="C88" s="828">
        <v>519.10500000000002</v>
      </c>
      <c r="D88" s="519" t="s">
        <v>466</v>
      </c>
      <c r="E88" s="587"/>
      <c r="F88" s="612"/>
      <c r="G88" s="739"/>
      <c r="H88" s="766">
        <v>15381</v>
      </c>
    </row>
    <row r="89" spans="1:8" x14ac:dyDescent="0.2">
      <c r="B89" s="783">
        <v>1100000000</v>
      </c>
      <c r="C89" s="828" t="s">
        <v>850</v>
      </c>
      <c r="D89" t="s">
        <v>714</v>
      </c>
      <c r="E89" s="584">
        <v>50000</v>
      </c>
      <c r="F89" s="609">
        <v>20000</v>
      </c>
      <c r="G89" s="736">
        <v>35000</v>
      </c>
      <c r="H89" s="773">
        <v>15000</v>
      </c>
    </row>
    <row r="90" spans="1:8" s="5" customFormat="1" x14ac:dyDescent="0.2">
      <c r="A90" s="627"/>
      <c r="B90" s="783">
        <v>1100000000</v>
      </c>
      <c r="C90" s="828">
        <v>519.10699999999997</v>
      </c>
      <c r="D90" s="631" t="s">
        <v>1434</v>
      </c>
      <c r="E90" s="584"/>
      <c r="F90" s="609"/>
      <c r="G90" s="736"/>
      <c r="H90" s="773">
        <v>2880</v>
      </c>
    </row>
    <row r="91" spans="1:8" s="5" customFormat="1" x14ac:dyDescent="0.2">
      <c r="A91" s="76"/>
      <c r="B91" s="783">
        <v>1100000000</v>
      </c>
      <c r="C91" s="828">
        <v>519.10799999999995</v>
      </c>
      <c r="D91" s="519" t="s">
        <v>1433</v>
      </c>
      <c r="E91" s="584"/>
      <c r="F91" s="609"/>
      <c r="G91" s="736"/>
      <c r="H91" s="773">
        <v>25000</v>
      </c>
    </row>
    <row r="92" spans="1:8" s="5" customFormat="1" x14ac:dyDescent="0.2">
      <c r="A92" s="627"/>
      <c r="B92" s="783">
        <v>1100000000</v>
      </c>
      <c r="C92" s="828">
        <v>541.101</v>
      </c>
      <c r="D92" s="631" t="s">
        <v>1436</v>
      </c>
      <c r="E92" s="584"/>
      <c r="F92" s="609"/>
      <c r="G92" s="736"/>
      <c r="H92" s="773">
        <v>2900</v>
      </c>
    </row>
    <row r="93" spans="1:8" x14ac:dyDescent="0.2">
      <c r="B93" s="783" t="s">
        <v>817</v>
      </c>
      <c r="C93" s="828" t="s">
        <v>868</v>
      </c>
      <c r="D93" t="s">
        <v>676</v>
      </c>
      <c r="E93" s="584">
        <v>666</v>
      </c>
      <c r="F93" s="609">
        <v>0</v>
      </c>
      <c r="G93" s="736">
        <v>500</v>
      </c>
      <c r="H93" s="773">
        <v>1112</v>
      </c>
    </row>
    <row r="94" spans="1:8" s="5" customFormat="1" x14ac:dyDescent="0.2">
      <c r="A94" s="251" t="s">
        <v>111</v>
      </c>
      <c r="B94" s="797"/>
      <c r="C94" s="779"/>
      <c r="D94" s="252"/>
      <c r="E94" s="586">
        <f t="shared" ref="E94:G94" si="7">SUM(E85:E93)</f>
        <v>61666</v>
      </c>
      <c r="F94" s="611">
        <f t="shared" si="7"/>
        <v>31000</v>
      </c>
      <c r="G94" s="738">
        <f t="shared" si="7"/>
        <v>58500</v>
      </c>
      <c r="H94" s="775">
        <f>SUM(H85:H93)</f>
        <v>85273</v>
      </c>
    </row>
    <row r="95" spans="1:8" ht="13.5" thickBot="1" x14ac:dyDescent="0.25">
      <c r="A95" s="249"/>
      <c r="B95" s="826"/>
      <c r="C95" s="820"/>
      <c r="D95" s="250"/>
      <c r="E95" s="588"/>
      <c r="F95" s="613"/>
      <c r="G95" s="740"/>
      <c r="H95" s="776"/>
    </row>
    <row r="96" spans="1:8" s="5" customFormat="1" ht="13.5" thickBot="1" x14ac:dyDescent="0.25">
      <c r="A96" s="247" t="s">
        <v>13</v>
      </c>
      <c r="B96" s="827"/>
      <c r="C96" s="781"/>
      <c r="D96" s="96"/>
      <c r="E96" s="589">
        <f>+E94+E84+E55+E37+E17+E14+E22+E73</f>
        <v>5559815.4199999999</v>
      </c>
      <c r="F96" s="614">
        <f>+F94+F84+F55+F37+F17+F14+F22+F73</f>
        <v>3855752</v>
      </c>
      <c r="G96" s="741">
        <f>+G94+G84+G55+G37+G17+G14+G22+G73</f>
        <v>4537945</v>
      </c>
      <c r="H96" s="777">
        <f>+H94+H84+H55+H37+H17+H14+H22+H73</f>
        <v>4700726</v>
      </c>
    </row>
    <row r="112" ht="9.6" customHeight="1" x14ac:dyDescent="0.2"/>
    <row r="121" ht="9" customHeight="1" x14ac:dyDescent="0.2"/>
    <row r="130" ht="6.95" customHeight="1" x14ac:dyDescent="0.2"/>
    <row r="147" ht="5.65" customHeight="1" x14ac:dyDescent="0.2"/>
    <row r="173" ht="8.65" customHeight="1" x14ac:dyDescent="0.2"/>
    <row r="180" ht="6" customHeight="1" x14ac:dyDescent="0.2"/>
    <row r="185" ht="7.35" customHeight="1" x14ac:dyDescent="0.2"/>
    <row r="202" ht="8.25" customHeight="1" x14ac:dyDescent="0.2"/>
    <row r="218" ht="7.9" customHeight="1" x14ac:dyDescent="0.2"/>
    <row r="228" ht="7.35" customHeight="1" x14ac:dyDescent="0.2"/>
    <row r="269" ht="8.25" customHeight="1" x14ac:dyDescent="0.2"/>
    <row r="287" ht="7.9" customHeight="1" x14ac:dyDescent="0.2"/>
    <row r="299" ht="6.95" customHeight="1" x14ac:dyDescent="0.2"/>
    <row r="310" ht="5.25" customHeight="1" x14ac:dyDescent="0.2"/>
    <row r="319" ht="6.6" customHeight="1" x14ac:dyDescent="0.2"/>
    <row r="325" ht="6.95" customHeight="1" x14ac:dyDescent="0.2"/>
    <row r="332" ht="6.95" customHeight="1" x14ac:dyDescent="0.2"/>
    <row r="337" ht="5.65" customHeight="1" x14ac:dyDescent="0.2"/>
    <row r="348" ht="6.6" customHeight="1" x14ac:dyDescent="0.2"/>
    <row r="357" ht="7.35" customHeight="1" x14ac:dyDescent="0.2"/>
    <row r="385" ht="8.25" customHeight="1" x14ac:dyDescent="0.2"/>
  </sheetData>
  <phoneticPr fontId="5" type="noConversion"/>
  <printOptions horizontalCentered="1" gridLines="1"/>
  <pageMargins left="0.25" right="0.25" top="0.31" bottom="0.44" header="0.5" footer="0.2"/>
  <pageSetup scale="80" fitToHeight="0" orientation="portrait" r:id="rId1"/>
  <headerFooter alignWithMargins="0"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92D050"/>
    <pageSetUpPr fitToPage="1"/>
  </sheetPr>
  <dimension ref="A1:U542"/>
  <sheetViews>
    <sheetView zoomScaleNormal="100" workbookViewId="0">
      <pane ySplit="4" topLeftCell="A329" activePane="bottomLeft" state="frozen"/>
      <selection activeCell="D380" sqref="D380"/>
      <selection pane="bottomLeft" activeCell="D380" sqref="D380"/>
    </sheetView>
  </sheetViews>
  <sheetFormatPr defaultColWidth="9.140625" defaultRowHeight="12.75" x14ac:dyDescent="0.2"/>
  <cols>
    <col min="1" max="1" width="0.7109375" customWidth="1"/>
    <col min="2" max="2" width="11.42578125" style="728" customWidth="1"/>
    <col min="3" max="3" width="8.42578125" style="813" bestFit="1" customWidth="1"/>
    <col min="4" max="4" width="38.28515625" bestFit="1" customWidth="1"/>
    <col min="5" max="5" width="15.28515625" style="580" customWidth="1"/>
    <col min="6" max="6" width="15.28515625" customWidth="1"/>
    <col min="7" max="7" width="15.28515625" style="732" customWidth="1"/>
    <col min="8" max="8" width="15.28515625" style="757" customWidth="1"/>
    <col min="9" max="9" width="3.5703125" hidden="1" customWidth="1"/>
    <col min="10" max="10" width="0.140625" hidden="1" customWidth="1"/>
    <col min="11" max="12" width="0.28515625" hidden="1" customWidth="1"/>
    <col min="13" max="27" width="9.140625" customWidth="1"/>
  </cols>
  <sheetData>
    <row r="1" spans="1:13" ht="13.5" thickBot="1" x14ac:dyDescent="0.25">
      <c r="A1" s="71"/>
      <c r="B1" s="730"/>
      <c r="C1" s="805"/>
      <c r="E1" s="514"/>
      <c r="F1" s="792" t="s">
        <v>1489</v>
      </c>
      <c r="G1" s="648"/>
      <c r="H1" s="648"/>
      <c r="I1" s="13"/>
      <c r="J1" s="262">
        <v>0.27200000000000002</v>
      </c>
      <c r="K1" s="263" t="s">
        <v>381</v>
      </c>
      <c r="L1" s="264">
        <v>0.2737</v>
      </c>
    </row>
    <row r="2" spans="1:13" ht="16.5" x14ac:dyDescent="0.25">
      <c r="A2" s="71"/>
      <c r="B2" s="730"/>
      <c r="C2" s="805"/>
      <c r="E2" s="592" t="s">
        <v>759</v>
      </c>
      <c r="F2" s="615" t="s">
        <v>1305</v>
      </c>
      <c r="G2" s="742" t="s">
        <v>1305</v>
      </c>
      <c r="H2" s="761" t="s">
        <v>1305</v>
      </c>
      <c r="I2" s="245" t="s">
        <v>620</v>
      </c>
      <c r="K2" s="102"/>
    </row>
    <row r="3" spans="1:13" x14ac:dyDescent="0.2">
      <c r="A3" s="78"/>
      <c r="B3" s="796"/>
      <c r="C3" s="802"/>
      <c r="D3" s="14"/>
      <c r="E3" s="583" t="s">
        <v>757</v>
      </c>
      <c r="F3" s="608" t="s">
        <v>734</v>
      </c>
      <c r="G3" s="735" t="s">
        <v>1416</v>
      </c>
      <c r="H3" s="762" t="s">
        <v>1430</v>
      </c>
      <c r="I3" s="245" t="s">
        <v>603</v>
      </c>
      <c r="J3" s="14"/>
      <c r="K3" s="14"/>
      <c r="L3" s="14"/>
      <c r="M3" s="14"/>
    </row>
    <row r="4" spans="1:13" x14ac:dyDescent="0.2">
      <c r="B4" s="796" t="s">
        <v>1</v>
      </c>
      <c r="C4" s="802"/>
      <c r="D4" s="14" t="s">
        <v>2</v>
      </c>
      <c r="E4" s="583" t="s">
        <v>3</v>
      </c>
      <c r="F4" s="608" t="s">
        <v>3</v>
      </c>
      <c r="G4" s="735" t="s">
        <v>3</v>
      </c>
      <c r="H4" s="762" t="s">
        <v>3</v>
      </c>
      <c r="I4" s="246" t="s">
        <v>52</v>
      </c>
      <c r="J4" s="14"/>
      <c r="K4" s="14"/>
      <c r="L4" s="14"/>
      <c r="M4" s="14"/>
    </row>
    <row r="5" spans="1:13" x14ac:dyDescent="0.2">
      <c r="A5" s="71"/>
      <c r="B5" s="730"/>
      <c r="C5" s="805"/>
      <c r="E5" s="593"/>
      <c r="F5" s="616"/>
      <c r="G5" s="743"/>
      <c r="H5" s="763"/>
      <c r="I5" s="13"/>
    </row>
    <row r="6" spans="1:13" s="578" customFormat="1" x14ac:dyDescent="0.2">
      <c r="A6" s="71"/>
      <c r="B6" s="782">
        <v>1100000435</v>
      </c>
      <c r="C6" s="599">
        <v>1170</v>
      </c>
      <c r="D6" s="519" t="s">
        <v>1239</v>
      </c>
      <c r="E6" s="593">
        <v>17115</v>
      </c>
      <c r="F6" s="616"/>
      <c r="G6" s="743"/>
      <c r="H6" s="763"/>
      <c r="I6" s="13"/>
    </row>
    <row r="7" spans="1:13" s="578" customFormat="1" x14ac:dyDescent="0.2">
      <c r="A7" s="71"/>
      <c r="B7" s="782">
        <v>1100000435</v>
      </c>
      <c r="C7" s="599">
        <v>1240.1010000000001</v>
      </c>
      <c r="D7" s="519" t="s">
        <v>1240</v>
      </c>
      <c r="E7" s="593">
        <v>28845</v>
      </c>
      <c r="F7" s="616"/>
      <c r="G7" s="743">
        <v>4126</v>
      </c>
      <c r="H7" s="763">
        <v>4126</v>
      </c>
      <c r="I7" s="13"/>
    </row>
    <row r="8" spans="1:13" s="578" customFormat="1" x14ac:dyDescent="0.2">
      <c r="A8" s="71"/>
      <c r="B8" s="782">
        <v>1100000435</v>
      </c>
      <c r="C8" s="599">
        <v>1240.1020000000001</v>
      </c>
      <c r="D8" s="519" t="s">
        <v>1241</v>
      </c>
      <c r="E8" s="593">
        <v>125000</v>
      </c>
      <c r="F8" s="616"/>
      <c r="G8" s="743">
        <v>5087</v>
      </c>
      <c r="H8" s="763">
        <v>5087</v>
      </c>
      <c r="I8" s="13"/>
    </row>
    <row r="9" spans="1:13" s="578" customFormat="1" x14ac:dyDescent="0.2">
      <c r="A9" s="71"/>
      <c r="B9" s="782">
        <v>1100000435</v>
      </c>
      <c r="C9" s="599">
        <v>1240.1030000000001</v>
      </c>
      <c r="D9" s="519" t="s">
        <v>1242</v>
      </c>
      <c r="E9" s="593">
        <v>55439</v>
      </c>
      <c r="F9" s="616"/>
      <c r="G9" s="743">
        <v>8589</v>
      </c>
      <c r="H9" s="763">
        <v>8589</v>
      </c>
      <c r="I9" s="13"/>
    </row>
    <row r="10" spans="1:13" s="578" customFormat="1" x14ac:dyDescent="0.2">
      <c r="A10" s="71"/>
      <c r="B10" s="782">
        <v>1100000435</v>
      </c>
      <c r="C10" s="599">
        <v>1240.105</v>
      </c>
      <c r="D10" s="519" t="s">
        <v>1243</v>
      </c>
      <c r="E10" s="593">
        <v>62053</v>
      </c>
      <c r="F10" s="616"/>
      <c r="G10" s="743"/>
      <c r="H10" s="763"/>
      <c r="I10" s="13"/>
    </row>
    <row r="11" spans="1:13" s="578" customFormat="1" x14ac:dyDescent="0.2">
      <c r="A11" s="71"/>
      <c r="B11" s="782">
        <v>1100000435</v>
      </c>
      <c r="C11" s="599">
        <v>1240.106</v>
      </c>
      <c r="D11" s="519" t="s">
        <v>667</v>
      </c>
      <c r="E11" s="593">
        <v>0</v>
      </c>
      <c r="F11" s="616"/>
      <c r="G11" s="743"/>
      <c r="H11" s="763"/>
      <c r="I11" s="13"/>
    </row>
    <row r="12" spans="1:13" s="578" customFormat="1" x14ac:dyDescent="0.2">
      <c r="A12" s="71"/>
      <c r="B12" s="782">
        <v>1100000435</v>
      </c>
      <c r="C12" s="599">
        <v>1240.1110000000001</v>
      </c>
      <c r="D12" s="519" t="s">
        <v>1244</v>
      </c>
      <c r="E12" s="593">
        <v>22260</v>
      </c>
      <c r="F12" s="616"/>
      <c r="G12" s="743">
        <v>1566</v>
      </c>
      <c r="H12" s="763">
        <v>1566</v>
      </c>
      <c r="I12" s="13"/>
    </row>
    <row r="13" spans="1:13" s="578" customFormat="1" x14ac:dyDescent="0.2">
      <c r="A13" s="71"/>
      <c r="B13" s="782">
        <v>1100000435</v>
      </c>
      <c r="C13" s="599">
        <v>1240.1179999999999</v>
      </c>
      <c r="D13" s="519" t="s">
        <v>1252</v>
      </c>
      <c r="E13" s="593">
        <v>0</v>
      </c>
      <c r="F13" s="616"/>
      <c r="G13" s="743"/>
      <c r="H13" s="763"/>
      <c r="I13" s="13"/>
    </row>
    <row r="14" spans="1:13" s="578" customFormat="1" x14ac:dyDescent="0.2">
      <c r="A14" s="71"/>
      <c r="B14" s="782">
        <v>1100000435</v>
      </c>
      <c r="C14" s="599">
        <v>1240.1210000000001</v>
      </c>
      <c r="D14" s="519" t="s">
        <v>1253</v>
      </c>
      <c r="E14" s="593">
        <v>1000</v>
      </c>
      <c r="F14" s="616"/>
      <c r="G14" s="743">
        <v>1000</v>
      </c>
      <c r="H14" s="763">
        <v>1000</v>
      </c>
      <c r="I14" s="13"/>
    </row>
    <row r="15" spans="1:13" s="578" customFormat="1" x14ac:dyDescent="0.2">
      <c r="A15" s="71"/>
      <c r="B15" s="782">
        <v>1100000435</v>
      </c>
      <c r="C15" s="599">
        <v>1240.1310000000001</v>
      </c>
      <c r="D15" s="519" t="s">
        <v>1254</v>
      </c>
      <c r="E15" s="593">
        <v>1000</v>
      </c>
      <c r="F15" s="616"/>
      <c r="G15" s="743">
        <v>1000</v>
      </c>
      <c r="H15" s="763">
        <v>1000</v>
      </c>
      <c r="I15" s="13"/>
    </row>
    <row r="16" spans="1:13" s="578" customFormat="1" x14ac:dyDescent="0.2">
      <c r="A16" s="71"/>
      <c r="B16" s="782">
        <v>1100000435</v>
      </c>
      <c r="C16" s="599">
        <v>1630.1030000000001</v>
      </c>
      <c r="D16" s="519" t="s">
        <v>1245</v>
      </c>
      <c r="E16" s="593">
        <v>76058</v>
      </c>
      <c r="F16" s="616"/>
      <c r="G16" s="743"/>
      <c r="H16" s="763"/>
      <c r="I16" s="13"/>
    </row>
    <row r="17" spans="1:9" s="578" customFormat="1" x14ac:dyDescent="0.2">
      <c r="A17" s="71"/>
      <c r="B17" s="782">
        <v>1100000435</v>
      </c>
      <c r="C17" s="599">
        <v>1870.104</v>
      </c>
      <c r="D17" s="519" t="s">
        <v>1428</v>
      </c>
      <c r="E17" s="593">
        <v>6000</v>
      </c>
      <c r="F17" s="616"/>
      <c r="G17" s="743"/>
      <c r="H17" s="763"/>
      <c r="I17" s="13"/>
    </row>
    <row r="18" spans="1:9" s="578" customFormat="1" x14ac:dyDescent="0.2">
      <c r="A18" s="71"/>
      <c r="B18" s="782">
        <v>1100000435</v>
      </c>
      <c r="C18" s="599">
        <v>1870.1110000000001</v>
      </c>
      <c r="D18" s="519" t="s">
        <v>1246</v>
      </c>
      <c r="E18" s="593">
        <v>9000</v>
      </c>
      <c r="F18" s="616"/>
      <c r="G18" s="743"/>
      <c r="H18" s="763"/>
      <c r="I18" s="13"/>
    </row>
    <row r="19" spans="1:9" s="578" customFormat="1" x14ac:dyDescent="0.2">
      <c r="A19" s="71"/>
      <c r="B19" s="782">
        <v>1100000435</v>
      </c>
      <c r="C19" s="599">
        <v>1870.1120000000001</v>
      </c>
      <c r="D19" s="519" t="s">
        <v>1429</v>
      </c>
      <c r="E19" s="593">
        <v>9000</v>
      </c>
      <c r="F19" s="616"/>
      <c r="G19" s="743"/>
      <c r="H19" s="763"/>
      <c r="I19" s="13"/>
    </row>
    <row r="20" spans="1:9" s="578" customFormat="1" x14ac:dyDescent="0.2">
      <c r="A20" s="71"/>
      <c r="B20" s="782">
        <v>1100000249</v>
      </c>
      <c r="C20" s="599">
        <v>312.11799999999999</v>
      </c>
      <c r="D20" s="519" t="s">
        <v>1247</v>
      </c>
      <c r="E20" s="593">
        <v>3500</v>
      </c>
      <c r="F20" s="616"/>
      <c r="G20" s="743">
        <v>287</v>
      </c>
      <c r="H20" s="763">
        <v>287</v>
      </c>
      <c r="I20" s="13"/>
    </row>
    <row r="21" spans="1:9" s="578" customFormat="1" x14ac:dyDescent="0.2">
      <c r="A21" s="71"/>
      <c r="B21" s="782">
        <v>1100000435</v>
      </c>
      <c r="C21" s="599">
        <v>2800</v>
      </c>
      <c r="D21" s="519" t="s">
        <v>1248</v>
      </c>
      <c r="E21" s="593">
        <v>55940</v>
      </c>
      <c r="F21" s="616"/>
      <c r="G21" s="743">
        <v>4953</v>
      </c>
      <c r="H21" s="763">
        <v>4953</v>
      </c>
      <c r="I21" s="13"/>
    </row>
    <row r="22" spans="1:9" s="578" customFormat="1" x14ac:dyDescent="0.2">
      <c r="A22" s="71"/>
      <c r="B22" s="782">
        <v>1100000435</v>
      </c>
      <c r="C22" s="599">
        <v>2820</v>
      </c>
      <c r="D22" s="519" t="s">
        <v>1249</v>
      </c>
      <c r="E22" s="593">
        <v>112216</v>
      </c>
      <c r="F22" s="616"/>
      <c r="G22" s="743">
        <v>28681</v>
      </c>
      <c r="H22" s="763">
        <v>28681</v>
      </c>
      <c r="I22" s="13"/>
    </row>
    <row r="23" spans="1:9" s="578" customFormat="1" x14ac:dyDescent="0.2">
      <c r="A23" s="71"/>
      <c r="B23" s="782">
        <v>1100000435</v>
      </c>
      <c r="C23" s="599">
        <v>2830</v>
      </c>
      <c r="D23" s="519" t="s">
        <v>155</v>
      </c>
      <c r="E23" s="593">
        <v>32020</v>
      </c>
      <c r="F23" s="616"/>
      <c r="G23" s="743">
        <v>4725</v>
      </c>
      <c r="H23" s="763">
        <v>4725</v>
      </c>
      <c r="I23" s="13"/>
    </row>
    <row r="24" spans="1:9" s="578" customFormat="1" x14ac:dyDescent="0.2">
      <c r="A24" s="71"/>
      <c r="B24" s="782">
        <v>1100000435</v>
      </c>
      <c r="C24" s="599">
        <v>3110.1039999999998</v>
      </c>
      <c r="D24" s="519" t="s">
        <v>1250</v>
      </c>
      <c r="E24" s="593">
        <v>1900</v>
      </c>
      <c r="F24" s="616"/>
      <c r="G24" s="743"/>
      <c r="H24" s="763"/>
      <c r="I24" s="13"/>
    </row>
    <row r="25" spans="1:9" s="578" customFormat="1" x14ac:dyDescent="0.2">
      <c r="A25" s="71"/>
      <c r="B25" s="782">
        <v>1100000435</v>
      </c>
      <c r="C25" s="599">
        <v>3220.12</v>
      </c>
      <c r="D25" s="519" t="s">
        <v>1251</v>
      </c>
      <c r="E25" s="593">
        <v>667</v>
      </c>
      <c r="F25" s="616"/>
      <c r="G25" s="743">
        <v>65</v>
      </c>
      <c r="H25" s="763">
        <v>65</v>
      </c>
      <c r="I25" s="13"/>
    </row>
    <row r="26" spans="1:9" s="578" customFormat="1" x14ac:dyDescent="0.2">
      <c r="A26" s="71"/>
      <c r="B26" s="782">
        <v>1100000435</v>
      </c>
      <c r="C26" s="599">
        <v>4190.1059999999998</v>
      </c>
      <c r="D26" s="519" t="s">
        <v>1255</v>
      </c>
      <c r="E26" s="593">
        <v>9933</v>
      </c>
      <c r="F26" s="616"/>
      <c r="G26" s="743"/>
      <c r="H26" s="763"/>
      <c r="I26" s="13"/>
    </row>
    <row r="27" spans="1:9" s="578" customFormat="1" x14ac:dyDescent="0.2">
      <c r="A27" s="71"/>
      <c r="B27" s="782">
        <v>1100000435</v>
      </c>
      <c r="C27" s="599">
        <v>5110.1009999999997</v>
      </c>
      <c r="D27" s="519" t="s">
        <v>1256</v>
      </c>
      <c r="E27" s="593">
        <v>2500</v>
      </c>
      <c r="F27" s="616"/>
      <c r="G27" s="743"/>
      <c r="H27" s="763"/>
      <c r="I27" s="13"/>
    </row>
    <row r="28" spans="1:9" s="578" customFormat="1" x14ac:dyDescent="0.2">
      <c r="A28" s="71"/>
      <c r="B28" s="782">
        <v>1100000256</v>
      </c>
      <c r="C28" s="599">
        <v>312.12400000000002</v>
      </c>
      <c r="D28" s="519" t="s">
        <v>1257</v>
      </c>
      <c r="E28" s="593">
        <v>1000</v>
      </c>
      <c r="F28" s="616"/>
      <c r="G28" s="743"/>
      <c r="H28" s="763"/>
      <c r="I28" s="13"/>
    </row>
    <row r="29" spans="1:9" s="578" customFormat="1" x14ac:dyDescent="0.2">
      <c r="A29" s="71"/>
      <c r="B29" s="782">
        <v>1100000435</v>
      </c>
      <c r="C29" s="599">
        <v>5110.1030000000001</v>
      </c>
      <c r="D29" s="519" t="s">
        <v>1258</v>
      </c>
      <c r="E29" s="593">
        <v>1000</v>
      </c>
      <c r="F29" s="616"/>
      <c r="G29" s="743"/>
      <c r="H29" s="763"/>
      <c r="I29" s="13"/>
    </row>
    <row r="30" spans="1:9" s="578" customFormat="1" x14ac:dyDescent="0.2">
      <c r="A30" s="71"/>
      <c r="B30" s="782">
        <v>1100000316</v>
      </c>
      <c r="C30" s="599">
        <v>312.12099999999998</v>
      </c>
      <c r="D30" s="519" t="s">
        <v>1259</v>
      </c>
      <c r="E30" s="593">
        <v>3000</v>
      </c>
      <c r="F30" s="616"/>
      <c r="G30" s="743"/>
      <c r="H30" s="763"/>
      <c r="I30" s="13"/>
    </row>
    <row r="31" spans="1:9" s="625" customFormat="1" x14ac:dyDescent="0.2">
      <c r="A31" s="71"/>
      <c r="B31" s="782">
        <v>1100000435</v>
      </c>
      <c r="C31" s="599">
        <v>5110.1469999999999</v>
      </c>
      <c r="D31" s="519" t="s">
        <v>1317</v>
      </c>
      <c r="E31" s="593">
        <v>2530</v>
      </c>
      <c r="F31" s="616"/>
      <c r="G31" s="743"/>
      <c r="H31" s="763"/>
      <c r="I31" s="13"/>
    </row>
    <row r="32" spans="1:9" s="578" customFormat="1" x14ac:dyDescent="0.2">
      <c r="A32" s="71"/>
      <c r="B32" s="782">
        <v>1100000435</v>
      </c>
      <c r="C32" s="599">
        <v>4190.1040000000003</v>
      </c>
      <c r="D32" s="519" t="s">
        <v>1260</v>
      </c>
      <c r="E32" s="593">
        <v>5395</v>
      </c>
      <c r="F32" s="616"/>
      <c r="G32" s="743">
        <v>2407</v>
      </c>
      <c r="H32" s="763">
        <v>2407</v>
      </c>
      <c r="I32" s="13"/>
    </row>
    <row r="33" spans="1:11" s="578" customFormat="1" x14ac:dyDescent="0.2">
      <c r="A33" s="71"/>
      <c r="B33" s="782">
        <v>1100000435</v>
      </c>
      <c r="C33" s="599">
        <v>4190.1030000000001</v>
      </c>
      <c r="D33" s="519" t="s">
        <v>1261</v>
      </c>
      <c r="E33" s="593">
        <v>4000</v>
      </c>
      <c r="F33" s="616"/>
      <c r="G33" s="743"/>
      <c r="H33" s="763"/>
      <c r="I33" s="13"/>
    </row>
    <row r="34" spans="1:11" s="578" customFormat="1" x14ac:dyDescent="0.2">
      <c r="A34" s="71"/>
      <c r="B34" s="782">
        <v>1100000435</v>
      </c>
      <c r="C34" s="599">
        <v>5210.1009999999997</v>
      </c>
      <c r="D34" s="519" t="s">
        <v>1262</v>
      </c>
      <c r="E34" s="593">
        <v>14500</v>
      </c>
      <c r="F34" s="616"/>
      <c r="G34" s="743">
        <v>12023</v>
      </c>
      <c r="H34" s="763">
        <v>12023</v>
      </c>
      <c r="I34" s="13"/>
    </row>
    <row r="35" spans="1:11" s="578" customFormat="1" x14ac:dyDescent="0.2">
      <c r="A35" s="71"/>
      <c r="B35" s="782">
        <v>1100000435</v>
      </c>
      <c r="C35" s="599">
        <v>5210.1019999999999</v>
      </c>
      <c r="D35" s="519" t="s">
        <v>1263</v>
      </c>
      <c r="E35" s="593">
        <v>21148</v>
      </c>
      <c r="F35" s="616"/>
      <c r="G35" s="743">
        <v>7361</v>
      </c>
      <c r="H35" s="763">
        <v>7361</v>
      </c>
      <c r="I35" s="13"/>
    </row>
    <row r="36" spans="1:11" s="625" customFormat="1" x14ac:dyDescent="0.2">
      <c r="A36" s="71"/>
      <c r="B36" s="782">
        <v>1100000435</v>
      </c>
      <c r="C36" s="599">
        <v>5210.1030000000001</v>
      </c>
      <c r="D36" s="519" t="s">
        <v>1318</v>
      </c>
      <c r="E36" s="593">
        <v>6040</v>
      </c>
      <c r="F36" s="616"/>
      <c r="G36" s="743">
        <v>6040</v>
      </c>
      <c r="H36" s="763">
        <v>6040</v>
      </c>
      <c r="I36" s="13"/>
    </row>
    <row r="37" spans="1:11" s="625" customFormat="1" x14ac:dyDescent="0.2">
      <c r="A37" s="71"/>
      <c r="B37" s="782">
        <v>1100000435</v>
      </c>
      <c r="C37" s="599">
        <v>5210.1059999999998</v>
      </c>
      <c r="D37" s="519" t="s">
        <v>1319</v>
      </c>
      <c r="E37" s="593">
        <v>229</v>
      </c>
      <c r="F37" s="616"/>
      <c r="G37" s="743">
        <v>103</v>
      </c>
      <c r="H37" s="763">
        <v>103</v>
      </c>
      <c r="I37" s="13"/>
    </row>
    <row r="38" spans="1:11" s="578" customFormat="1" x14ac:dyDescent="0.2">
      <c r="A38" s="71"/>
      <c r="B38" s="782">
        <v>1100000435</v>
      </c>
      <c r="C38" s="599">
        <v>5990.1120000000001</v>
      </c>
      <c r="D38" s="519" t="s">
        <v>40</v>
      </c>
      <c r="E38" s="593">
        <v>8000</v>
      </c>
      <c r="F38" s="616"/>
      <c r="G38" s="743"/>
      <c r="H38" s="763"/>
      <c r="I38" s="13"/>
    </row>
    <row r="39" spans="1:11" s="578" customFormat="1" x14ac:dyDescent="0.2">
      <c r="A39" s="71"/>
      <c r="B39" s="782">
        <v>1100000435</v>
      </c>
      <c r="C39" s="599">
        <v>5990.1130000000003</v>
      </c>
      <c r="D39" s="519" t="s">
        <v>1264</v>
      </c>
      <c r="E39" s="593">
        <v>22000</v>
      </c>
      <c r="F39" s="616"/>
      <c r="G39" s="743">
        <v>2571</v>
      </c>
      <c r="H39" s="763">
        <v>2571</v>
      </c>
      <c r="I39" s="13"/>
    </row>
    <row r="40" spans="1:11" s="578" customFormat="1" x14ac:dyDescent="0.2">
      <c r="A40" s="71"/>
      <c r="B40" s="782">
        <v>1100000435</v>
      </c>
      <c r="C40" s="599">
        <v>6420.1049999999996</v>
      </c>
      <c r="D40" s="519" t="s">
        <v>1265</v>
      </c>
      <c r="E40" s="593">
        <v>24572</v>
      </c>
      <c r="F40" s="616"/>
      <c r="G40" s="743">
        <v>23877</v>
      </c>
      <c r="H40" s="763">
        <v>23877</v>
      </c>
      <c r="I40" s="13"/>
    </row>
    <row r="41" spans="1:11" s="578" customFormat="1" x14ac:dyDescent="0.2">
      <c r="A41" s="71"/>
      <c r="B41" s="782">
        <v>1100000435</v>
      </c>
      <c r="C41" s="599"/>
      <c r="D41" s="519" t="s">
        <v>1266</v>
      </c>
      <c r="E41" s="593">
        <v>0</v>
      </c>
      <c r="F41" s="616"/>
      <c r="G41" s="743"/>
      <c r="H41" s="763"/>
      <c r="I41" s="13"/>
    </row>
    <row r="42" spans="1:11" s="578" customFormat="1" x14ac:dyDescent="0.2">
      <c r="A42" s="71"/>
      <c r="B42" s="782">
        <v>1100000435</v>
      </c>
      <c r="C42" s="599"/>
      <c r="D42" s="519" t="s">
        <v>1267</v>
      </c>
      <c r="E42" s="593">
        <v>49300</v>
      </c>
      <c r="F42" s="616"/>
      <c r="G42" s="743">
        <v>17599</v>
      </c>
      <c r="H42" s="763">
        <v>17599</v>
      </c>
      <c r="I42" s="13"/>
    </row>
    <row r="43" spans="1:11" s="625" customFormat="1" x14ac:dyDescent="0.2">
      <c r="A43" s="71"/>
      <c r="B43" s="782">
        <v>1100000435</v>
      </c>
      <c r="C43" s="599">
        <v>6420.1090000000004</v>
      </c>
      <c r="D43" s="519" t="s">
        <v>1320</v>
      </c>
      <c r="E43" s="593">
        <v>59953</v>
      </c>
      <c r="F43" s="616"/>
      <c r="G43" s="743">
        <v>59650</v>
      </c>
      <c r="H43" s="763">
        <v>59650</v>
      </c>
      <c r="I43" s="13"/>
    </row>
    <row r="44" spans="1:11" s="578" customFormat="1" x14ac:dyDescent="0.2">
      <c r="B44" s="797" t="s">
        <v>740</v>
      </c>
      <c r="C44" s="806"/>
      <c r="D44" s="340"/>
      <c r="E44" s="594">
        <f>SUM(E6:E43)</f>
        <v>854113</v>
      </c>
      <c r="F44" s="617">
        <f>SUM(F6:F43)</f>
        <v>0</v>
      </c>
      <c r="G44" s="744">
        <f>SUM(G6:G43)</f>
        <v>191710</v>
      </c>
      <c r="H44" s="764">
        <f>SUM(H6:H43)</f>
        <v>191710</v>
      </c>
      <c r="I44" s="13"/>
    </row>
    <row r="45" spans="1:11" s="578" customFormat="1" ht="8.65" customHeight="1" x14ac:dyDescent="0.2">
      <c r="A45" s="71"/>
      <c r="B45" s="730"/>
      <c r="C45" s="805"/>
      <c r="E45" s="593"/>
      <c r="F45" s="616"/>
      <c r="G45" s="743"/>
      <c r="H45" s="763"/>
      <c r="I45" s="13"/>
    </row>
    <row r="46" spans="1:11" x14ac:dyDescent="0.2">
      <c r="A46" s="71"/>
      <c r="B46" s="783" t="s">
        <v>1077</v>
      </c>
      <c r="C46" s="828" t="s">
        <v>1078</v>
      </c>
      <c r="D46" s="519" t="s">
        <v>1452</v>
      </c>
      <c r="E46" s="593">
        <v>295425</v>
      </c>
      <c r="F46" s="616">
        <v>385261</v>
      </c>
      <c r="G46" s="743">
        <v>288547</v>
      </c>
      <c r="H46" s="763">
        <v>289657</v>
      </c>
      <c r="I46" s="13" t="e">
        <f>+#REF!-#REF!</f>
        <v>#REF!</v>
      </c>
      <c r="K46" s="102"/>
    </row>
    <row r="47" spans="1:11" x14ac:dyDescent="0.2">
      <c r="A47" s="71"/>
      <c r="B47" s="783" t="s">
        <v>1077</v>
      </c>
      <c r="C47" s="828" t="s">
        <v>1079</v>
      </c>
      <c r="D47" s="9" t="s">
        <v>287</v>
      </c>
      <c r="E47" s="593">
        <v>6200</v>
      </c>
      <c r="F47" s="616">
        <v>6200</v>
      </c>
      <c r="G47" s="743">
        <v>10000</v>
      </c>
      <c r="H47" s="763">
        <v>7500</v>
      </c>
      <c r="I47" s="13" t="e">
        <f>+#REF!-#REF!</f>
        <v>#REF!</v>
      </c>
    </row>
    <row r="48" spans="1:11" x14ac:dyDescent="0.2">
      <c r="A48" s="71"/>
      <c r="B48" s="783" t="s">
        <v>1077</v>
      </c>
      <c r="C48" s="828" t="s">
        <v>1080</v>
      </c>
      <c r="D48" s="9" t="s">
        <v>661</v>
      </c>
      <c r="E48" s="593">
        <v>0</v>
      </c>
      <c r="F48" s="616">
        <v>0</v>
      </c>
      <c r="G48" s="743">
        <v>0</v>
      </c>
      <c r="H48" s="763">
        <v>0</v>
      </c>
      <c r="I48" s="13" t="e">
        <f>+#REF!-#REF!</f>
        <v>#REF!</v>
      </c>
    </row>
    <row r="49" spans="1:12" x14ac:dyDescent="0.2">
      <c r="A49" s="71"/>
      <c r="B49" s="783" t="s">
        <v>1077</v>
      </c>
      <c r="C49" s="828" t="s">
        <v>1081</v>
      </c>
      <c r="D49" s="9" t="s">
        <v>286</v>
      </c>
      <c r="E49" s="593">
        <v>683</v>
      </c>
      <c r="F49" s="616">
        <v>34734</v>
      </c>
      <c r="G49" s="743">
        <v>17638</v>
      </c>
      <c r="H49" s="763">
        <v>17762</v>
      </c>
      <c r="I49" s="13" t="e">
        <f>+#REF!-#REF!</f>
        <v>#REF!</v>
      </c>
      <c r="L49" s="84"/>
    </row>
    <row r="50" spans="1:12" x14ac:dyDescent="0.2">
      <c r="A50" s="71"/>
      <c r="B50" s="783" t="s">
        <v>1077</v>
      </c>
      <c r="C50" s="828" t="s">
        <v>1082</v>
      </c>
      <c r="D50" s="9" t="s">
        <v>295</v>
      </c>
      <c r="E50" s="593">
        <v>1000</v>
      </c>
      <c r="F50" s="616">
        <v>1000</v>
      </c>
      <c r="G50" s="743">
        <v>1000</v>
      </c>
      <c r="H50" s="763">
        <v>1000</v>
      </c>
      <c r="I50" s="13" t="e">
        <f>+#REF!-#REF!</f>
        <v>#REF!</v>
      </c>
    </row>
    <row r="51" spans="1:12" x14ac:dyDescent="0.2">
      <c r="A51" s="71"/>
      <c r="B51" s="783" t="s">
        <v>1077</v>
      </c>
      <c r="C51" s="828" t="s">
        <v>1083</v>
      </c>
      <c r="D51" s="9" t="s">
        <v>285</v>
      </c>
      <c r="E51" s="593">
        <v>7699.79</v>
      </c>
      <c r="F51" s="616">
        <v>10000</v>
      </c>
      <c r="G51" s="743">
        <v>27000</v>
      </c>
      <c r="H51" s="763">
        <v>22000</v>
      </c>
      <c r="I51" s="13" t="e">
        <f>+#REF!-#REF!</f>
        <v>#REF!</v>
      </c>
    </row>
    <row r="52" spans="1:12" x14ac:dyDescent="0.2">
      <c r="A52" s="71"/>
      <c r="B52" s="783" t="s">
        <v>1077</v>
      </c>
      <c r="C52" s="828" t="s">
        <v>1084</v>
      </c>
      <c r="D52" s="9" t="s">
        <v>284</v>
      </c>
      <c r="E52" s="593">
        <v>0</v>
      </c>
      <c r="F52" s="616">
        <v>1000</v>
      </c>
      <c r="G52" s="743">
        <v>1200</v>
      </c>
      <c r="H52" s="763">
        <v>1200</v>
      </c>
      <c r="I52" s="13" t="e">
        <f>+#REF!-#REF!</f>
        <v>#REF!</v>
      </c>
    </row>
    <row r="53" spans="1:12" x14ac:dyDescent="0.2">
      <c r="A53" s="71"/>
      <c r="B53" s="783" t="s">
        <v>1077</v>
      </c>
      <c r="C53" s="828" t="s">
        <v>1085</v>
      </c>
      <c r="D53" s="9" t="s">
        <v>279</v>
      </c>
      <c r="E53" s="593">
        <v>105550</v>
      </c>
      <c r="F53" s="616">
        <v>117800</v>
      </c>
      <c r="G53" s="743">
        <v>109531</v>
      </c>
      <c r="H53" s="763">
        <v>109531</v>
      </c>
      <c r="I53" s="13" t="e">
        <f>+#REF!-#REF!</f>
        <v>#REF!</v>
      </c>
      <c r="J53" s="102"/>
      <c r="K53" s="9"/>
    </row>
    <row r="54" spans="1:12" x14ac:dyDescent="0.2">
      <c r="A54" s="71"/>
      <c r="B54" s="783" t="s">
        <v>1077</v>
      </c>
      <c r="C54" s="828" t="s">
        <v>903</v>
      </c>
      <c r="D54" s="9" t="s">
        <v>280</v>
      </c>
      <c r="E54" s="593">
        <v>94818</v>
      </c>
      <c r="F54" s="616">
        <v>115260</v>
      </c>
      <c r="G54" s="743">
        <v>107069</v>
      </c>
      <c r="H54" s="763">
        <v>99765</v>
      </c>
      <c r="I54" s="13" t="e">
        <f>+#REF!-#REF!</f>
        <v>#REF!</v>
      </c>
    </row>
    <row r="55" spans="1:12" x14ac:dyDescent="0.2">
      <c r="A55" s="71"/>
      <c r="B55" s="783" t="s">
        <v>1077</v>
      </c>
      <c r="C55" s="828" t="s">
        <v>1086</v>
      </c>
      <c r="D55" s="9" t="s">
        <v>440</v>
      </c>
      <c r="E55" s="593">
        <v>32308</v>
      </c>
      <c r="F55" s="616">
        <v>72393</v>
      </c>
      <c r="G55" s="743">
        <v>72393</v>
      </c>
      <c r="H55" s="763">
        <v>72393</v>
      </c>
      <c r="I55" s="13" t="e">
        <f>+#REF!-#REF!</f>
        <v>#REF!</v>
      </c>
    </row>
    <row r="56" spans="1:12" x14ac:dyDescent="0.2">
      <c r="A56" s="71"/>
      <c r="B56" s="783" t="s">
        <v>1077</v>
      </c>
      <c r="C56" s="828" t="s">
        <v>904</v>
      </c>
      <c r="D56" s="9" t="s">
        <v>155</v>
      </c>
      <c r="E56" s="593">
        <v>24179</v>
      </c>
      <c r="F56" s="616">
        <v>33522</v>
      </c>
      <c r="G56" s="743">
        <v>26422</v>
      </c>
      <c r="H56" s="763">
        <v>24620</v>
      </c>
      <c r="I56" s="13" t="e">
        <f>+#REF!-#REF!</f>
        <v>#REF!</v>
      </c>
    </row>
    <row r="57" spans="1:12" x14ac:dyDescent="0.2">
      <c r="A57" s="71"/>
      <c r="B57" s="783" t="s">
        <v>1077</v>
      </c>
      <c r="C57" s="828" t="s">
        <v>1088</v>
      </c>
      <c r="D57" s="9" t="s">
        <v>282</v>
      </c>
      <c r="E57" s="593">
        <v>0</v>
      </c>
      <c r="F57" s="616">
        <v>290</v>
      </c>
      <c r="G57" s="743">
        <v>290</v>
      </c>
      <c r="H57" s="763">
        <v>290</v>
      </c>
      <c r="I57" s="13" t="e">
        <f>+#REF!-#REF!</f>
        <v>#REF!</v>
      </c>
      <c r="L57" s="102"/>
    </row>
    <row r="58" spans="1:12" x14ac:dyDescent="0.2">
      <c r="A58" s="71"/>
      <c r="B58" s="783" t="s">
        <v>1077</v>
      </c>
      <c r="C58" s="828" t="s">
        <v>1087</v>
      </c>
      <c r="D58" s="9" t="s">
        <v>283</v>
      </c>
      <c r="E58" s="593">
        <v>10000</v>
      </c>
      <c r="F58" s="616">
        <v>10000</v>
      </c>
      <c r="G58" s="743">
        <v>10000</v>
      </c>
      <c r="H58" s="763">
        <v>10000</v>
      </c>
      <c r="I58" s="13" t="e">
        <f>+#REF!-#REF!</f>
        <v>#REF!</v>
      </c>
      <c r="K58" s="9"/>
    </row>
    <row r="59" spans="1:12" x14ac:dyDescent="0.2">
      <c r="A59" s="71"/>
      <c r="B59" s="783" t="s">
        <v>1077</v>
      </c>
      <c r="C59" s="828" t="s">
        <v>1090</v>
      </c>
      <c r="D59" s="9" t="s">
        <v>737</v>
      </c>
      <c r="E59" s="593">
        <v>0</v>
      </c>
      <c r="F59" s="616">
        <v>0</v>
      </c>
      <c r="G59" s="743">
        <v>0</v>
      </c>
      <c r="H59" s="763">
        <v>0</v>
      </c>
      <c r="I59" s="13"/>
      <c r="K59" s="9"/>
    </row>
    <row r="60" spans="1:12" x14ac:dyDescent="0.2">
      <c r="A60" s="71"/>
      <c r="B60" s="783" t="s">
        <v>1077</v>
      </c>
      <c r="C60" s="828" t="s">
        <v>1089</v>
      </c>
      <c r="D60" s="9" t="s">
        <v>728</v>
      </c>
      <c r="E60" s="593">
        <v>0</v>
      </c>
      <c r="F60" s="616">
        <v>0</v>
      </c>
      <c r="G60" s="743">
        <v>0</v>
      </c>
      <c r="H60" s="763">
        <v>0</v>
      </c>
      <c r="I60" s="13"/>
    </row>
    <row r="61" spans="1:12" x14ac:dyDescent="0.2">
      <c r="A61" s="71"/>
      <c r="B61" s="783" t="s">
        <v>1077</v>
      </c>
      <c r="C61" s="828" t="s">
        <v>1091</v>
      </c>
      <c r="D61" s="9" t="s">
        <v>289</v>
      </c>
      <c r="E61" s="593">
        <v>850</v>
      </c>
      <c r="F61" s="616">
        <v>850</v>
      </c>
      <c r="G61" s="743">
        <v>2400</v>
      </c>
      <c r="H61" s="763">
        <v>1700</v>
      </c>
      <c r="I61" s="13" t="e">
        <f>+#REF!-#REF!</f>
        <v>#REF!</v>
      </c>
      <c r="L61" s="102"/>
    </row>
    <row r="62" spans="1:12" x14ac:dyDescent="0.2">
      <c r="A62" s="71"/>
      <c r="B62" s="783" t="s">
        <v>1077</v>
      </c>
      <c r="C62" s="828" t="s">
        <v>1092</v>
      </c>
      <c r="D62" s="9" t="s">
        <v>528</v>
      </c>
      <c r="E62" s="593">
        <v>1000</v>
      </c>
      <c r="F62" s="616">
        <v>1000</v>
      </c>
      <c r="G62" s="743">
        <v>1000</v>
      </c>
      <c r="H62" s="763">
        <v>1000</v>
      </c>
      <c r="I62" s="13" t="e">
        <f>+#REF!-#REF!</f>
        <v>#REF!</v>
      </c>
    </row>
    <row r="63" spans="1:12" x14ac:dyDescent="0.2">
      <c r="A63" s="71"/>
      <c r="B63" s="783" t="s">
        <v>1077</v>
      </c>
      <c r="C63" s="828" t="s">
        <v>1093</v>
      </c>
      <c r="D63" s="9" t="s">
        <v>290</v>
      </c>
      <c r="E63" s="593">
        <v>846.63</v>
      </c>
      <c r="F63" s="616">
        <v>1000</v>
      </c>
      <c r="G63" s="743">
        <v>1000</v>
      </c>
      <c r="H63" s="763">
        <v>1000</v>
      </c>
      <c r="I63" s="13" t="e">
        <f>+#REF!-#REF!</f>
        <v>#REF!</v>
      </c>
    </row>
    <row r="64" spans="1:12" x14ac:dyDescent="0.2">
      <c r="A64" s="71"/>
      <c r="B64" s="783" t="s">
        <v>1077</v>
      </c>
      <c r="C64" s="828" t="s">
        <v>1095</v>
      </c>
      <c r="D64" s="9" t="s">
        <v>292</v>
      </c>
      <c r="E64" s="593">
        <v>0</v>
      </c>
      <c r="F64" s="616">
        <v>0</v>
      </c>
      <c r="G64" s="743">
        <v>0</v>
      </c>
      <c r="H64" s="763">
        <v>0</v>
      </c>
      <c r="I64" s="13" t="e">
        <f>+#REF!-#REF!</f>
        <v>#REF!</v>
      </c>
    </row>
    <row r="65" spans="1:13" x14ac:dyDescent="0.2">
      <c r="A65" s="71"/>
      <c r="B65" s="783" t="s">
        <v>1077</v>
      </c>
      <c r="C65" s="828" t="s">
        <v>1094</v>
      </c>
      <c r="D65" s="9" t="s">
        <v>291</v>
      </c>
      <c r="E65" s="593">
        <v>1600</v>
      </c>
      <c r="F65" s="616">
        <v>1600</v>
      </c>
      <c r="G65" s="743">
        <v>500</v>
      </c>
      <c r="H65" s="763">
        <v>500</v>
      </c>
      <c r="I65" s="13" t="e">
        <f>+#REF!-#REF!</f>
        <v>#REF!</v>
      </c>
    </row>
    <row r="66" spans="1:13" x14ac:dyDescent="0.2">
      <c r="A66" s="71"/>
      <c r="B66" s="783" t="s">
        <v>1077</v>
      </c>
      <c r="C66" s="828" t="s">
        <v>1096</v>
      </c>
      <c r="D66" s="9" t="s">
        <v>293</v>
      </c>
      <c r="E66" s="593">
        <v>250</v>
      </c>
      <c r="F66" s="616">
        <v>250</v>
      </c>
      <c r="G66" s="743">
        <v>250</v>
      </c>
      <c r="H66" s="763">
        <v>250</v>
      </c>
      <c r="I66" s="13" t="e">
        <f>+#REF!-#REF!</f>
        <v>#REF!</v>
      </c>
    </row>
    <row r="67" spans="1:13" x14ac:dyDescent="0.2">
      <c r="B67" s="797" t="s">
        <v>15</v>
      </c>
      <c r="C67" s="779"/>
      <c r="D67" s="252"/>
      <c r="E67" s="594">
        <f>SUM(E46:E66)</f>
        <v>582409.42000000004</v>
      </c>
      <c r="F67" s="617">
        <f>SUM(F45:F66)</f>
        <v>792160</v>
      </c>
      <c r="G67" s="744">
        <f>SUM(G45:G66)</f>
        <v>676240</v>
      </c>
      <c r="H67" s="764">
        <f>SUM(H45:H66)</f>
        <v>660168</v>
      </c>
      <c r="I67" s="15" t="e">
        <f>SUM(I46:I66)</f>
        <v>#REF!</v>
      </c>
      <c r="J67" s="5"/>
      <c r="K67" s="79"/>
      <c r="L67" s="5"/>
      <c r="M67" s="5"/>
    </row>
    <row r="68" spans="1:13" ht="6.4" customHeight="1" x14ac:dyDescent="0.2">
      <c r="A68" s="71"/>
      <c r="B68" s="730"/>
      <c r="C68" s="805"/>
      <c r="E68" s="593"/>
      <c r="F68" s="616"/>
      <c r="G68" s="743"/>
      <c r="H68" s="763"/>
      <c r="I68" s="13"/>
    </row>
    <row r="69" spans="1:13" x14ac:dyDescent="0.2">
      <c r="A69" s="71"/>
      <c r="B69" s="783" t="s">
        <v>1186</v>
      </c>
      <c r="C69" s="828" t="s">
        <v>1188</v>
      </c>
      <c r="D69" s="9" t="s">
        <v>288</v>
      </c>
      <c r="E69" s="593">
        <v>71213</v>
      </c>
      <c r="F69" s="616">
        <v>224563</v>
      </c>
      <c r="G69" s="743">
        <v>223938</v>
      </c>
      <c r="H69" s="763">
        <v>224633</v>
      </c>
      <c r="I69" s="13" t="e">
        <f>+#REF!-#REF!</f>
        <v>#REF!</v>
      </c>
    </row>
    <row r="70" spans="1:13" x14ac:dyDescent="0.2">
      <c r="A70" s="71"/>
      <c r="B70" s="783" t="s">
        <v>1186</v>
      </c>
      <c r="C70" s="828" t="s">
        <v>1189</v>
      </c>
      <c r="D70" s="9" t="s">
        <v>287</v>
      </c>
      <c r="E70" s="593">
        <v>800</v>
      </c>
      <c r="F70" s="616">
        <v>800</v>
      </c>
      <c r="G70" s="743">
        <v>2500</v>
      </c>
      <c r="H70" s="763">
        <v>2500</v>
      </c>
      <c r="I70" s="13" t="e">
        <f>+#REF!-#REF!</f>
        <v>#REF!</v>
      </c>
    </row>
    <row r="71" spans="1:13" x14ac:dyDescent="0.2">
      <c r="A71" s="71"/>
      <c r="B71" s="783" t="s">
        <v>1186</v>
      </c>
      <c r="C71" s="828" t="s">
        <v>1187</v>
      </c>
      <c r="D71" t="s">
        <v>692</v>
      </c>
      <c r="E71" s="593">
        <v>0</v>
      </c>
      <c r="F71" s="616">
        <v>0</v>
      </c>
      <c r="G71" s="743">
        <v>0</v>
      </c>
      <c r="H71" s="763">
        <v>0</v>
      </c>
      <c r="I71" s="13"/>
    </row>
    <row r="72" spans="1:13" x14ac:dyDescent="0.2">
      <c r="A72" s="71"/>
      <c r="B72" s="783" t="s">
        <v>1186</v>
      </c>
      <c r="C72" s="828" t="s">
        <v>1190</v>
      </c>
      <c r="D72" s="9" t="s">
        <v>295</v>
      </c>
      <c r="E72" s="593">
        <v>375</v>
      </c>
      <c r="F72" s="616">
        <v>375</v>
      </c>
      <c r="G72" s="743">
        <v>1200</v>
      </c>
      <c r="H72" s="763">
        <v>500</v>
      </c>
      <c r="I72" s="13" t="e">
        <f>+#REF!-#REF!</f>
        <v>#REF!</v>
      </c>
    </row>
    <row r="73" spans="1:13" x14ac:dyDescent="0.2">
      <c r="A73" s="71"/>
      <c r="B73" s="783" t="s">
        <v>1186</v>
      </c>
      <c r="C73" s="828" t="s">
        <v>1191</v>
      </c>
      <c r="D73" s="9" t="s">
        <v>294</v>
      </c>
      <c r="E73" s="593">
        <v>7098</v>
      </c>
      <c r="F73" s="616">
        <v>5285</v>
      </c>
      <c r="G73" s="743">
        <v>7100</v>
      </c>
      <c r="H73" s="763">
        <v>8000</v>
      </c>
      <c r="I73" s="13" t="e">
        <f>+#REF!-#REF!</f>
        <v>#REF!</v>
      </c>
    </row>
    <row r="74" spans="1:13" x14ac:dyDescent="0.2">
      <c r="A74" s="71"/>
      <c r="B74" s="783" t="s">
        <v>1186</v>
      </c>
      <c r="C74" s="828" t="s">
        <v>1192</v>
      </c>
      <c r="D74" s="9" t="s">
        <v>279</v>
      </c>
      <c r="E74" s="593">
        <v>19497</v>
      </c>
      <c r="F74" s="616">
        <v>63184</v>
      </c>
      <c r="G74" s="743">
        <v>54316</v>
      </c>
      <c r="H74" s="763">
        <v>54316</v>
      </c>
      <c r="I74" s="13" t="e">
        <f>+#REF!-#REF!</f>
        <v>#REF!</v>
      </c>
    </row>
    <row r="75" spans="1:13" x14ac:dyDescent="0.2">
      <c r="A75" s="71"/>
      <c r="B75" s="783" t="s">
        <v>1186</v>
      </c>
      <c r="C75" s="828" t="s">
        <v>903</v>
      </c>
      <c r="D75" s="9" t="s">
        <v>280</v>
      </c>
      <c r="E75" s="593">
        <v>23302</v>
      </c>
      <c r="F75" s="616">
        <v>50197</v>
      </c>
      <c r="G75" s="743">
        <v>53351</v>
      </c>
      <c r="H75" s="763">
        <v>53413</v>
      </c>
      <c r="I75" s="13" t="e">
        <f>+#REF!-#REF!</f>
        <v>#REF!</v>
      </c>
    </row>
    <row r="76" spans="1:13" x14ac:dyDescent="0.2">
      <c r="A76" s="71"/>
      <c r="B76" s="783" t="s">
        <v>1186</v>
      </c>
      <c r="C76" s="828" t="s">
        <v>1193</v>
      </c>
      <c r="D76" s="9" t="s">
        <v>440</v>
      </c>
      <c r="E76" s="593">
        <v>64616</v>
      </c>
      <c r="F76" s="616">
        <v>18502</v>
      </c>
      <c r="G76" s="743">
        <v>18502</v>
      </c>
      <c r="H76" s="763">
        <v>18502</v>
      </c>
      <c r="I76" s="13" t="e">
        <f>+#REF!-#REF!</f>
        <v>#REF!</v>
      </c>
    </row>
    <row r="77" spans="1:13" x14ac:dyDescent="0.2">
      <c r="A77" s="71"/>
      <c r="B77" s="783" t="s">
        <v>1186</v>
      </c>
      <c r="C77" s="828" t="s">
        <v>904</v>
      </c>
      <c r="D77" s="9" t="s">
        <v>155</v>
      </c>
      <c r="E77" s="593">
        <v>5942</v>
      </c>
      <c r="F77" s="616">
        <v>17597</v>
      </c>
      <c r="G77" s="743">
        <v>17958</v>
      </c>
      <c r="H77" s="763">
        <v>18026</v>
      </c>
      <c r="I77" s="13" t="e">
        <f>+#REF!-#REF!</f>
        <v>#REF!</v>
      </c>
    </row>
    <row r="78" spans="1:13" x14ac:dyDescent="0.2">
      <c r="A78" s="71"/>
      <c r="B78" s="783" t="s">
        <v>1186</v>
      </c>
      <c r="C78" s="828" t="s">
        <v>1194</v>
      </c>
      <c r="D78" s="9" t="s">
        <v>282</v>
      </c>
      <c r="E78" s="593">
        <v>0</v>
      </c>
      <c r="F78" s="616">
        <v>90</v>
      </c>
      <c r="G78" s="743">
        <v>90</v>
      </c>
      <c r="H78" s="763">
        <v>90</v>
      </c>
      <c r="I78" s="13" t="e">
        <f>+#REF!-#REF!</f>
        <v>#REF!</v>
      </c>
    </row>
    <row r="79" spans="1:13" s="760" customFormat="1" x14ac:dyDescent="0.2">
      <c r="A79" s="71"/>
      <c r="B79" s="783">
        <v>1120112000</v>
      </c>
      <c r="C79" s="828">
        <v>3210.1060000000002</v>
      </c>
      <c r="D79" s="519" t="s">
        <v>1453</v>
      </c>
      <c r="E79" s="593"/>
      <c r="F79" s="616"/>
      <c r="G79" s="743"/>
      <c r="H79" s="763">
        <v>300</v>
      </c>
      <c r="I79" s="13"/>
    </row>
    <row r="80" spans="1:13" x14ac:dyDescent="0.2">
      <c r="A80" s="71"/>
      <c r="B80" s="783" t="s">
        <v>1186</v>
      </c>
      <c r="C80" s="828" t="s">
        <v>1195</v>
      </c>
      <c r="D80" s="9" t="s">
        <v>290</v>
      </c>
      <c r="E80" s="593">
        <v>246.56</v>
      </c>
      <c r="F80" s="616">
        <v>2000</v>
      </c>
      <c r="G80" s="743">
        <v>2000</v>
      </c>
      <c r="H80" s="763">
        <v>1500</v>
      </c>
      <c r="I80" s="13" t="e">
        <f>+#REF!-#REF!</f>
        <v>#REF!</v>
      </c>
    </row>
    <row r="81" spans="1:13" x14ac:dyDescent="0.2">
      <c r="A81" s="71"/>
      <c r="B81" s="783" t="s">
        <v>1186</v>
      </c>
      <c r="C81" s="828" t="s">
        <v>1196</v>
      </c>
      <c r="D81" s="9" t="s">
        <v>628</v>
      </c>
      <c r="E81" s="593">
        <v>0</v>
      </c>
      <c r="F81" s="616">
        <v>2500</v>
      </c>
      <c r="G81" s="743">
        <v>1500</v>
      </c>
      <c r="H81" s="763">
        <v>750</v>
      </c>
      <c r="I81" s="13" t="e">
        <f>+#REF!-#REF!</f>
        <v>#REF!</v>
      </c>
    </row>
    <row r="82" spans="1:13" x14ac:dyDescent="0.2">
      <c r="A82" s="71"/>
      <c r="B82" s="783" t="s">
        <v>1186</v>
      </c>
      <c r="C82" s="828" t="s">
        <v>1198</v>
      </c>
      <c r="D82" s="9" t="s">
        <v>292</v>
      </c>
      <c r="E82" s="593">
        <v>0</v>
      </c>
      <c r="F82" s="616">
        <v>500</v>
      </c>
      <c r="G82" s="743">
        <v>1000</v>
      </c>
      <c r="H82" s="763">
        <v>1000</v>
      </c>
      <c r="I82" s="13" t="e">
        <f>+#REF!-#REF!</f>
        <v>#REF!</v>
      </c>
    </row>
    <row r="83" spans="1:13" x14ac:dyDescent="0.2">
      <c r="A83" s="71"/>
      <c r="B83" s="783" t="s">
        <v>1186</v>
      </c>
      <c r="C83" s="828" t="s">
        <v>1197</v>
      </c>
      <c r="D83" s="9" t="s">
        <v>299</v>
      </c>
      <c r="E83" s="593">
        <v>0</v>
      </c>
      <c r="F83" s="616">
        <v>200</v>
      </c>
      <c r="G83" s="743">
        <v>200</v>
      </c>
      <c r="H83" s="763">
        <v>200</v>
      </c>
      <c r="I83" s="13" t="e">
        <f>+#REF!-#REF!</f>
        <v>#REF!</v>
      </c>
    </row>
    <row r="84" spans="1:13" x14ac:dyDescent="0.2">
      <c r="B84" s="797" t="s">
        <v>16</v>
      </c>
      <c r="C84" s="779"/>
      <c r="D84" s="252"/>
      <c r="E84" s="594">
        <f>SUM(E68:E83)</f>
        <v>193089.56</v>
      </c>
      <c r="F84" s="617">
        <f>SUM(F68:F83)</f>
        <v>385793</v>
      </c>
      <c r="G84" s="744">
        <f>SUM(G68:G83)</f>
        <v>383655</v>
      </c>
      <c r="H84" s="764">
        <f>SUM(H68:H83)</f>
        <v>383730</v>
      </c>
      <c r="I84" s="15" t="e">
        <f>SUM(I69:I83)</f>
        <v>#REF!</v>
      </c>
      <c r="J84" s="5"/>
      <c r="K84" s="5"/>
      <c r="L84" s="5"/>
      <c r="M84" s="5"/>
    </row>
    <row r="85" spans="1:13" ht="8.1" customHeight="1" x14ac:dyDescent="0.2">
      <c r="A85" s="71"/>
      <c r="B85" s="730"/>
      <c r="C85" s="805"/>
      <c r="E85" s="593"/>
      <c r="F85" s="616"/>
      <c r="G85" s="743"/>
      <c r="H85" s="763"/>
      <c r="I85" s="13"/>
    </row>
    <row r="86" spans="1:13" x14ac:dyDescent="0.2">
      <c r="A86" s="71"/>
      <c r="B86" s="783" t="s">
        <v>1132</v>
      </c>
      <c r="C86" s="828" t="s">
        <v>1133</v>
      </c>
      <c r="D86" s="9" t="s">
        <v>288</v>
      </c>
      <c r="E86" s="593">
        <v>155277</v>
      </c>
      <c r="F86" s="616">
        <v>269907</v>
      </c>
      <c r="G86" s="743">
        <v>282291</v>
      </c>
      <c r="H86" s="763">
        <v>283181</v>
      </c>
      <c r="I86" s="13" t="e">
        <f>+#REF!-#REF!</f>
        <v>#REF!</v>
      </c>
    </row>
    <row r="87" spans="1:13" x14ac:dyDescent="0.2">
      <c r="A87" s="71"/>
      <c r="B87" s="783" t="s">
        <v>1132</v>
      </c>
      <c r="C87" s="828" t="s">
        <v>1134</v>
      </c>
      <c r="D87" s="9" t="s">
        <v>297</v>
      </c>
      <c r="E87" s="593">
        <v>14650</v>
      </c>
      <c r="F87" s="616">
        <v>15000</v>
      </c>
      <c r="G87" s="743">
        <v>15000</v>
      </c>
      <c r="H87" s="763">
        <v>20000</v>
      </c>
      <c r="I87" s="13" t="e">
        <f>+#REF!-#REF!</f>
        <v>#REF!</v>
      </c>
    </row>
    <row r="88" spans="1:13" x14ac:dyDescent="0.2">
      <c r="A88" s="71"/>
      <c r="B88" s="783" t="s">
        <v>1132</v>
      </c>
      <c r="C88" s="828" t="s">
        <v>1135</v>
      </c>
      <c r="D88" t="s">
        <v>688</v>
      </c>
      <c r="E88" s="593">
        <v>8000</v>
      </c>
      <c r="F88" s="616">
        <v>4000</v>
      </c>
      <c r="G88" s="743">
        <v>4000</v>
      </c>
      <c r="H88" s="763">
        <v>4000</v>
      </c>
      <c r="I88" s="13"/>
    </row>
    <row r="89" spans="1:13" x14ac:dyDescent="0.2">
      <c r="A89" s="71"/>
      <c r="B89" s="783" t="s">
        <v>1132</v>
      </c>
      <c r="C89" s="828" t="s">
        <v>1136</v>
      </c>
      <c r="D89" s="9" t="s">
        <v>296</v>
      </c>
      <c r="E89" s="593">
        <v>11550</v>
      </c>
      <c r="F89" s="616">
        <v>12000</v>
      </c>
      <c r="G89" s="743">
        <v>15000</v>
      </c>
      <c r="H89" s="763">
        <v>15000</v>
      </c>
      <c r="I89" s="13" t="e">
        <f>+#REF!-#REF!</f>
        <v>#REF!</v>
      </c>
    </row>
    <row r="90" spans="1:13" x14ac:dyDescent="0.2">
      <c r="A90" s="71"/>
      <c r="B90" s="783" t="s">
        <v>1132</v>
      </c>
      <c r="C90" s="828" t="s">
        <v>1137</v>
      </c>
      <c r="D90" s="9" t="s">
        <v>298</v>
      </c>
      <c r="E90" s="593">
        <v>1000</v>
      </c>
      <c r="F90" s="616">
        <v>1000</v>
      </c>
      <c r="G90" s="743">
        <v>1000</v>
      </c>
      <c r="H90" s="763">
        <v>1000</v>
      </c>
      <c r="I90" s="13" t="e">
        <f>+#REF!-#REF!</f>
        <v>#REF!</v>
      </c>
    </row>
    <row r="91" spans="1:13" x14ac:dyDescent="0.2">
      <c r="A91" s="71"/>
      <c r="B91" s="783" t="s">
        <v>1132</v>
      </c>
      <c r="C91" s="828" t="s">
        <v>1138</v>
      </c>
      <c r="D91" s="9" t="s">
        <v>285</v>
      </c>
      <c r="E91" s="593">
        <v>12713</v>
      </c>
      <c r="F91" s="616">
        <v>5000</v>
      </c>
      <c r="G91" s="743">
        <v>7200</v>
      </c>
      <c r="H91" s="763">
        <v>8800</v>
      </c>
      <c r="I91" s="13" t="e">
        <f>+#REF!-#REF!</f>
        <v>#REF!</v>
      </c>
    </row>
    <row r="92" spans="1:13" x14ac:dyDescent="0.2">
      <c r="A92" s="71"/>
      <c r="B92" s="783" t="s">
        <v>1132</v>
      </c>
      <c r="C92" s="828" t="s">
        <v>1139</v>
      </c>
      <c r="D92" s="9" t="s">
        <v>279</v>
      </c>
      <c r="E92" s="593">
        <v>22588</v>
      </c>
      <c r="F92" s="616">
        <v>40558</v>
      </c>
      <c r="G92" s="743">
        <v>61411</v>
      </c>
      <c r="H92" s="763">
        <v>61411</v>
      </c>
      <c r="I92" s="13" t="e">
        <f>+#REF!-#REF!</f>
        <v>#REF!</v>
      </c>
    </row>
    <row r="93" spans="1:13" x14ac:dyDescent="0.2">
      <c r="A93" s="71"/>
      <c r="B93" s="783" t="s">
        <v>1132</v>
      </c>
      <c r="C93" s="828" t="s">
        <v>903</v>
      </c>
      <c r="D93" s="9" t="s">
        <v>280</v>
      </c>
      <c r="E93" s="593">
        <v>60818</v>
      </c>
      <c r="F93" s="616">
        <v>76831</v>
      </c>
      <c r="G93" s="743">
        <v>82248</v>
      </c>
      <c r="H93" s="763">
        <v>89186</v>
      </c>
      <c r="I93" s="13" t="e">
        <f>+#REF!-#REF!</f>
        <v>#REF!</v>
      </c>
      <c r="K93" s="9"/>
    </row>
    <row r="94" spans="1:13" x14ac:dyDescent="0.2">
      <c r="A94" s="71"/>
      <c r="B94" s="783" t="s">
        <v>1132</v>
      </c>
      <c r="C94" s="828" t="s">
        <v>1140</v>
      </c>
      <c r="D94" s="9" t="s">
        <v>440</v>
      </c>
      <c r="E94" s="593">
        <v>123847</v>
      </c>
      <c r="F94" s="616">
        <v>45434</v>
      </c>
      <c r="G94" s="743">
        <v>45434</v>
      </c>
      <c r="H94" s="763">
        <v>45434</v>
      </c>
      <c r="I94" s="13" t="e">
        <f>+#REF!-#REF!</f>
        <v>#REF!</v>
      </c>
    </row>
    <row r="95" spans="1:13" x14ac:dyDescent="0.2">
      <c r="A95" s="71"/>
      <c r="B95" s="783" t="s">
        <v>1132</v>
      </c>
      <c r="C95" s="828" t="s">
        <v>904</v>
      </c>
      <c r="D95" s="9" t="s">
        <v>155</v>
      </c>
      <c r="E95" s="593">
        <v>15509</v>
      </c>
      <c r="F95" s="616">
        <v>23173</v>
      </c>
      <c r="G95" s="743">
        <v>24824</v>
      </c>
      <c r="H95" s="763">
        <v>25397</v>
      </c>
      <c r="I95" s="13" t="e">
        <f>+#REF!-#REF!</f>
        <v>#REF!</v>
      </c>
    </row>
    <row r="96" spans="1:13" x14ac:dyDescent="0.2">
      <c r="A96" s="71"/>
      <c r="B96" s="783" t="s">
        <v>1132</v>
      </c>
      <c r="C96" s="828" t="s">
        <v>1141</v>
      </c>
      <c r="D96" s="9" t="s">
        <v>281</v>
      </c>
      <c r="E96" s="593">
        <v>0</v>
      </c>
      <c r="F96" s="616">
        <v>290</v>
      </c>
      <c r="G96" s="743">
        <v>290</v>
      </c>
      <c r="H96" s="763">
        <v>290</v>
      </c>
      <c r="I96" s="13" t="e">
        <f>+#REF!-#REF!</f>
        <v>#REF!</v>
      </c>
    </row>
    <row r="97" spans="1:9" x14ac:dyDescent="0.2">
      <c r="A97" s="71"/>
      <c r="B97" s="783" t="s">
        <v>1132</v>
      </c>
      <c r="C97" s="828" t="s">
        <v>1142</v>
      </c>
      <c r="D97" s="9" t="s">
        <v>655</v>
      </c>
      <c r="E97" s="593">
        <v>0</v>
      </c>
      <c r="F97" s="616">
        <v>30000</v>
      </c>
      <c r="G97" s="743">
        <v>20000</v>
      </c>
      <c r="H97" s="763">
        <v>20000</v>
      </c>
      <c r="I97" s="13"/>
    </row>
    <row r="98" spans="1:9" x14ac:dyDescent="0.2">
      <c r="A98" s="71"/>
      <c r="B98" s="783" t="s">
        <v>1132</v>
      </c>
      <c r="C98" s="828" t="s">
        <v>1143</v>
      </c>
      <c r="D98" s="9" t="s">
        <v>289</v>
      </c>
      <c r="E98" s="593">
        <v>200</v>
      </c>
      <c r="F98" s="616">
        <v>200</v>
      </c>
      <c r="G98" s="743">
        <v>200</v>
      </c>
      <c r="H98" s="763">
        <v>200</v>
      </c>
      <c r="I98" s="13" t="e">
        <f>+#REF!-#REF!</f>
        <v>#REF!</v>
      </c>
    </row>
    <row r="99" spans="1:9" x14ac:dyDescent="0.2">
      <c r="A99" s="71"/>
      <c r="B99" s="783" t="s">
        <v>1132</v>
      </c>
      <c r="C99" s="828" t="s">
        <v>1144</v>
      </c>
      <c r="D99" s="9" t="s">
        <v>300</v>
      </c>
      <c r="E99" s="593">
        <v>36995</v>
      </c>
      <c r="F99" s="616">
        <v>25000</v>
      </c>
      <c r="G99" s="743">
        <v>65000</v>
      </c>
      <c r="H99" s="763">
        <v>65000</v>
      </c>
      <c r="I99" s="13" t="e">
        <f>+#REF!-#REF!</f>
        <v>#REF!</v>
      </c>
    </row>
    <row r="100" spans="1:9" x14ac:dyDescent="0.2">
      <c r="A100" s="71"/>
      <c r="B100" s="783" t="s">
        <v>1132</v>
      </c>
      <c r="C100" s="828" t="s">
        <v>1145</v>
      </c>
      <c r="D100" s="9" t="s">
        <v>290</v>
      </c>
      <c r="E100" s="593">
        <v>1840.65</v>
      </c>
      <c r="F100" s="616">
        <v>2500</v>
      </c>
      <c r="G100" s="743">
        <v>2500</v>
      </c>
      <c r="H100" s="763">
        <v>1500</v>
      </c>
      <c r="I100" s="13" t="e">
        <f>+#REF!-#REF!</f>
        <v>#REF!</v>
      </c>
    </row>
    <row r="101" spans="1:9" x14ac:dyDescent="0.2">
      <c r="A101" s="71"/>
      <c r="B101" s="783" t="s">
        <v>1132</v>
      </c>
      <c r="C101" s="828" t="s">
        <v>1146</v>
      </c>
      <c r="D101" s="9" t="s">
        <v>292</v>
      </c>
      <c r="E101" s="593">
        <v>225</v>
      </c>
      <c r="F101" s="616">
        <v>300</v>
      </c>
      <c r="G101" s="743">
        <v>300</v>
      </c>
      <c r="H101" s="763">
        <v>300</v>
      </c>
      <c r="I101" s="13" t="e">
        <f>+#REF!-#REF!</f>
        <v>#REF!</v>
      </c>
    </row>
    <row r="102" spans="1:9" x14ac:dyDescent="0.2">
      <c r="A102" s="71"/>
      <c r="B102" s="783" t="s">
        <v>1132</v>
      </c>
      <c r="C102" s="828" t="s">
        <v>1147</v>
      </c>
      <c r="D102" s="9" t="s">
        <v>293</v>
      </c>
      <c r="E102" s="593">
        <v>1500</v>
      </c>
      <c r="F102" s="616">
        <v>1500</v>
      </c>
      <c r="G102" s="743">
        <v>1500</v>
      </c>
      <c r="H102" s="763">
        <v>1500</v>
      </c>
      <c r="I102" s="13" t="e">
        <f>+#REF!-#REF!</f>
        <v>#REF!</v>
      </c>
    </row>
    <row r="103" spans="1:9" x14ac:dyDescent="0.2">
      <c r="B103" s="797" t="s">
        <v>17</v>
      </c>
      <c r="C103" s="779"/>
      <c r="D103" s="252"/>
      <c r="E103" s="594">
        <f>SUM(E86:E102)</f>
        <v>466712.65</v>
      </c>
      <c r="F103" s="617">
        <f>SUM(F85:F102)</f>
        <v>552693</v>
      </c>
      <c r="G103" s="744">
        <f>SUM(G85:G102)</f>
        <v>628198</v>
      </c>
      <c r="H103" s="764">
        <f>SUM(H85:H102)</f>
        <v>642199</v>
      </c>
      <c r="I103" s="15" t="e">
        <f>SUM(I86:I102)</f>
        <v>#REF!</v>
      </c>
    </row>
    <row r="104" spans="1:9" ht="7.7" customHeight="1" x14ac:dyDescent="0.2">
      <c r="A104" s="76"/>
      <c r="B104" s="798"/>
      <c r="C104" s="780"/>
      <c r="D104" s="5"/>
      <c r="E104" s="593"/>
      <c r="F104" s="616"/>
      <c r="G104" s="743"/>
      <c r="H104" s="763"/>
      <c r="I104" s="13"/>
    </row>
    <row r="105" spans="1:9" x14ac:dyDescent="0.2">
      <c r="A105" s="71"/>
      <c r="B105" s="783" t="s">
        <v>1199</v>
      </c>
      <c r="C105" s="828" t="s">
        <v>1200</v>
      </c>
      <c r="D105" s="9" t="s">
        <v>493</v>
      </c>
      <c r="E105" s="593">
        <v>1875</v>
      </c>
      <c r="F105" s="616">
        <v>1875</v>
      </c>
      <c r="G105" s="743">
        <v>1875</v>
      </c>
      <c r="H105" s="763">
        <v>1875</v>
      </c>
      <c r="I105" s="13" t="e">
        <f>+#REF!-#REF!</f>
        <v>#REF!</v>
      </c>
    </row>
    <row r="106" spans="1:9" x14ac:dyDescent="0.2">
      <c r="A106" s="71"/>
      <c r="B106" s="783" t="s">
        <v>1199</v>
      </c>
      <c r="C106" s="828" t="s">
        <v>1201</v>
      </c>
      <c r="D106" s="9" t="s">
        <v>280</v>
      </c>
      <c r="E106" s="593">
        <v>562</v>
      </c>
      <c r="F106" s="616">
        <v>563</v>
      </c>
      <c r="G106" s="743">
        <v>582</v>
      </c>
      <c r="H106" s="763">
        <v>582</v>
      </c>
      <c r="I106" s="13" t="e">
        <f>+#REF!-#REF!</f>
        <v>#REF!</v>
      </c>
    </row>
    <row r="107" spans="1:9" x14ac:dyDescent="0.2">
      <c r="A107" s="71"/>
      <c r="B107" s="783" t="s">
        <v>1199</v>
      </c>
      <c r="C107" s="828" t="s">
        <v>1202</v>
      </c>
      <c r="D107" s="9" t="s">
        <v>155</v>
      </c>
      <c r="E107" s="593">
        <v>144</v>
      </c>
      <c r="F107" s="616">
        <v>144</v>
      </c>
      <c r="G107" s="743">
        <v>144</v>
      </c>
      <c r="H107" s="763">
        <v>144</v>
      </c>
      <c r="I107" s="13" t="e">
        <f>+#REF!-#REF!</f>
        <v>#REF!</v>
      </c>
    </row>
    <row r="108" spans="1:9" x14ac:dyDescent="0.2">
      <c r="A108" s="71"/>
      <c r="B108" s="783" t="s">
        <v>1199</v>
      </c>
      <c r="C108" s="828" t="s">
        <v>1203</v>
      </c>
      <c r="D108" s="9" t="s">
        <v>675</v>
      </c>
      <c r="E108" s="593">
        <v>3500</v>
      </c>
      <c r="F108" s="616">
        <v>3500</v>
      </c>
      <c r="G108" s="743">
        <v>6000</v>
      </c>
      <c r="H108" s="763">
        <v>6000</v>
      </c>
      <c r="I108" s="13"/>
    </row>
    <row r="109" spans="1:9" x14ac:dyDescent="0.2">
      <c r="A109" s="71"/>
      <c r="B109" s="783" t="s">
        <v>1199</v>
      </c>
      <c r="C109" s="828" t="s">
        <v>1204</v>
      </c>
      <c r="D109" s="9" t="s">
        <v>629</v>
      </c>
      <c r="E109" s="593">
        <v>0</v>
      </c>
      <c r="F109" s="616">
        <v>0</v>
      </c>
      <c r="G109" s="743">
        <v>1000</v>
      </c>
      <c r="H109" s="763">
        <v>1000</v>
      </c>
      <c r="I109" s="13" t="e">
        <f>+#REF!-#REF!</f>
        <v>#REF!</v>
      </c>
    </row>
    <row r="110" spans="1:9" hidden="1" x14ac:dyDescent="0.2">
      <c r="A110" s="71">
        <v>10392</v>
      </c>
      <c r="B110" s="807"/>
      <c r="C110" s="808"/>
      <c r="D110" s="519" t="s">
        <v>761</v>
      </c>
      <c r="E110" s="593">
        <v>0</v>
      </c>
      <c r="F110" s="616">
        <v>0</v>
      </c>
      <c r="G110" s="743">
        <v>0</v>
      </c>
      <c r="H110" s="763">
        <v>0</v>
      </c>
      <c r="I110" s="13" t="e">
        <f>+#REF!-#REF!</f>
        <v>#REF!</v>
      </c>
    </row>
    <row r="111" spans="1:9" x14ac:dyDescent="0.2">
      <c r="B111" s="797" t="s">
        <v>1419</v>
      </c>
      <c r="C111" s="779"/>
      <c r="D111" s="252"/>
      <c r="E111" s="594">
        <f>SUM(E106:E110)</f>
        <v>4206</v>
      </c>
      <c r="F111" s="617">
        <f>SUM(F104:F109)</f>
        <v>6082</v>
      </c>
      <c r="G111" s="744">
        <f>SUM(G104:G109)</f>
        <v>9601</v>
      </c>
      <c r="H111" s="764">
        <f>SUM(H104:H109)</f>
        <v>9601</v>
      </c>
      <c r="I111" s="15" t="e">
        <f>SUM(I105:I110)</f>
        <v>#REF!</v>
      </c>
    </row>
    <row r="112" spans="1:9" ht="9.4" customHeight="1" x14ac:dyDescent="0.2">
      <c r="A112" s="76"/>
      <c r="B112" s="798"/>
      <c r="C112" s="780"/>
      <c r="D112" s="5"/>
      <c r="E112" s="593"/>
      <c r="F112" s="616"/>
      <c r="G112" s="743"/>
      <c r="H112" s="763"/>
      <c r="I112" s="13"/>
    </row>
    <row r="113" spans="1:11" x14ac:dyDescent="0.2">
      <c r="A113" s="71"/>
      <c r="B113" s="783" t="s">
        <v>1205</v>
      </c>
      <c r="C113" s="828" t="s">
        <v>1222</v>
      </c>
      <c r="D113" s="9" t="s">
        <v>729</v>
      </c>
      <c r="E113" s="593">
        <v>2270</v>
      </c>
      <c r="F113" s="616">
        <v>0</v>
      </c>
      <c r="G113" s="743">
        <v>0</v>
      </c>
      <c r="H113" s="763">
        <v>6886</v>
      </c>
      <c r="I113" s="8" t="e">
        <f>+#REF!-#REF!</f>
        <v>#REF!</v>
      </c>
    </row>
    <row r="114" spans="1:11" x14ac:dyDescent="0.2">
      <c r="A114" s="71"/>
      <c r="B114" s="783" t="s">
        <v>1205</v>
      </c>
      <c r="C114" s="828" t="s">
        <v>1206</v>
      </c>
      <c r="D114" t="s">
        <v>656</v>
      </c>
      <c r="E114" s="593">
        <v>8142</v>
      </c>
      <c r="F114" s="616">
        <v>0</v>
      </c>
      <c r="G114" s="743">
        <v>0</v>
      </c>
      <c r="H114" s="763">
        <v>10096</v>
      </c>
      <c r="I114" s="13" t="e">
        <f>+#REF!-#REF!</f>
        <v>#REF!</v>
      </c>
      <c r="J114" s="9"/>
    </row>
    <row r="115" spans="1:11" x14ac:dyDescent="0.2">
      <c r="A115" s="71"/>
      <c r="B115" s="783" t="s">
        <v>1205</v>
      </c>
      <c r="C115" s="828" t="s">
        <v>1207</v>
      </c>
      <c r="D115" s="9" t="s">
        <v>700</v>
      </c>
      <c r="E115" s="593">
        <v>775</v>
      </c>
      <c r="F115" s="616">
        <v>0</v>
      </c>
      <c r="G115" s="743">
        <v>0</v>
      </c>
      <c r="H115" s="763">
        <v>753</v>
      </c>
      <c r="I115" s="8" t="e">
        <f>+#REF!-#REF!</f>
        <v>#REF!</v>
      </c>
    </row>
    <row r="116" spans="1:11" s="580" customFormat="1" x14ac:dyDescent="0.2">
      <c r="A116" s="71"/>
      <c r="B116" s="783">
        <v>1130116000</v>
      </c>
      <c r="C116" s="828">
        <v>4910.1030000000001</v>
      </c>
      <c r="D116" s="519" t="s">
        <v>1276</v>
      </c>
      <c r="E116" s="593">
        <v>4835</v>
      </c>
      <c r="F116" s="616">
        <v>0</v>
      </c>
      <c r="G116" s="743">
        <v>0</v>
      </c>
      <c r="H116" s="763">
        <v>4835</v>
      </c>
      <c r="I116" s="13"/>
    </row>
    <row r="117" spans="1:11" x14ac:dyDescent="0.2">
      <c r="A117" s="71"/>
      <c r="B117" s="783">
        <v>1160116000</v>
      </c>
      <c r="C117" s="828">
        <v>4910.1040000000003</v>
      </c>
      <c r="D117" s="9" t="s">
        <v>636</v>
      </c>
      <c r="E117" s="593">
        <v>1340</v>
      </c>
      <c r="F117" s="616">
        <v>0</v>
      </c>
      <c r="G117" s="743">
        <v>0</v>
      </c>
      <c r="H117" s="763">
        <v>1340</v>
      </c>
      <c r="I117" s="13" t="e">
        <f>+#REF!-#REF!</f>
        <v>#REF!</v>
      </c>
      <c r="K117" s="9"/>
    </row>
    <row r="118" spans="1:11" x14ac:dyDescent="0.2">
      <c r="A118" s="71"/>
      <c r="B118" s="783">
        <v>1100116000</v>
      </c>
      <c r="C118" s="828" t="s">
        <v>1185</v>
      </c>
      <c r="D118" s="9" t="s">
        <v>730</v>
      </c>
      <c r="E118" s="593">
        <v>2401</v>
      </c>
      <c r="F118" s="616">
        <v>0</v>
      </c>
      <c r="G118" s="743">
        <v>0</v>
      </c>
      <c r="H118" s="763">
        <v>1047</v>
      </c>
      <c r="I118" s="8" t="e">
        <f>+#REF!-#REF!</f>
        <v>#REF!</v>
      </c>
    </row>
    <row r="119" spans="1:11" x14ac:dyDescent="0.2">
      <c r="A119" s="71"/>
      <c r="B119" s="783" t="s">
        <v>1223</v>
      </c>
      <c r="C119" s="828" t="s">
        <v>1224</v>
      </c>
      <c r="D119" s="9" t="s">
        <v>748</v>
      </c>
      <c r="E119" s="593">
        <v>2392</v>
      </c>
      <c r="F119" s="616">
        <v>0</v>
      </c>
      <c r="G119" s="743">
        <v>0</v>
      </c>
      <c r="H119" s="763">
        <v>5343</v>
      </c>
      <c r="I119" s="8" t="e">
        <f>+#REF!-#REF!</f>
        <v>#REF!</v>
      </c>
    </row>
    <row r="120" spans="1:11" x14ac:dyDescent="0.2">
      <c r="B120" s="797" t="s">
        <v>731</v>
      </c>
      <c r="C120" s="779"/>
      <c r="D120" s="252"/>
      <c r="E120" s="594">
        <f>SUM(E113:E119)</f>
        <v>22155</v>
      </c>
      <c r="F120" s="617">
        <f>SUM(F113:F119)</f>
        <v>0</v>
      </c>
      <c r="G120" s="744">
        <f>SUM(G113:G119)</f>
        <v>0</v>
      </c>
      <c r="H120" s="764">
        <f>SUM(H113:H119)</f>
        <v>30300</v>
      </c>
      <c r="I120" s="15" t="e">
        <f>SUM(I114:I119)</f>
        <v>#REF!</v>
      </c>
    </row>
    <row r="121" spans="1:11" ht="9" customHeight="1" x14ac:dyDescent="0.2">
      <c r="A121" s="71"/>
      <c r="B121" s="730"/>
      <c r="C121" s="805"/>
      <c r="E121" s="593"/>
      <c r="F121" s="616"/>
      <c r="G121" s="743"/>
      <c r="H121" s="763"/>
      <c r="I121" s="13"/>
    </row>
    <row r="122" spans="1:11" x14ac:dyDescent="0.2">
      <c r="A122" s="71"/>
      <c r="B122" s="783" t="s">
        <v>1157</v>
      </c>
      <c r="C122" s="828" t="s">
        <v>1158</v>
      </c>
      <c r="D122" t="s">
        <v>540</v>
      </c>
      <c r="E122" s="593">
        <v>8400</v>
      </c>
      <c r="F122" s="616">
        <v>2000</v>
      </c>
      <c r="G122" s="743">
        <v>0</v>
      </c>
      <c r="H122" s="763">
        <v>0</v>
      </c>
      <c r="I122" s="13" t="e">
        <f>+#REF!-#REF!</f>
        <v>#REF!</v>
      </c>
    </row>
    <row r="123" spans="1:11" x14ac:dyDescent="0.2">
      <c r="A123" s="71"/>
      <c r="B123" s="783" t="s">
        <v>1157</v>
      </c>
      <c r="C123" s="828" t="s">
        <v>1159</v>
      </c>
      <c r="D123" t="s">
        <v>541</v>
      </c>
      <c r="E123" s="593">
        <v>0</v>
      </c>
      <c r="F123" s="616">
        <v>0</v>
      </c>
      <c r="G123" s="743">
        <v>0</v>
      </c>
      <c r="H123" s="763">
        <v>0</v>
      </c>
      <c r="I123" s="13" t="e">
        <f>+#REF!-#REF!</f>
        <v>#REF!</v>
      </c>
    </row>
    <row r="124" spans="1:11" x14ac:dyDescent="0.2">
      <c r="A124" s="71"/>
      <c r="B124" s="783" t="s">
        <v>1157</v>
      </c>
      <c r="C124" s="828">
        <v>2820</v>
      </c>
      <c r="D124" t="s">
        <v>542</v>
      </c>
      <c r="E124" s="593">
        <v>2520</v>
      </c>
      <c r="F124" s="616">
        <v>600</v>
      </c>
      <c r="G124" s="743">
        <v>0</v>
      </c>
      <c r="H124" s="763">
        <v>0</v>
      </c>
      <c r="I124" s="13" t="e">
        <f>+#REF!-#REF!</f>
        <v>#REF!</v>
      </c>
    </row>
    <row r="125" spans="1:11" x14ac:dyDescent="0.2">
      <c r="A125" s="71"/>
      <c r="B125" s="783" t="s">
        <v>1157</v>
      </c>
      <c r="C125" s="828" t="s">
        <v>904</v>
      </c>
      <c r="D125" t="s">
        <v>543</v>
      </c>
      <c r="E125" s="593">
        <v>643</v>
      </c>
      <c r="F125" s="616">
        <v>153</v>
      </c>
      <c r="G125" s="743">
        <v>0</v>
      </c>
      <c r="H125" s="763">
        <v>0</v>
      </c>
      <c r="I125" s="13" t="e">
        <f>+#REF!-#REF!</f>
        <v>#REF!</v>
      </c>
    </row>
    <row r="126" spans="1:11" s="760" customFormat="1" x14ac:dyDescent="0.2">
      <c r="A126" s="71"/>
      <c r="B126" s="783">
        <v>1110117000</v>
      </c>
      <c r="C126" s="828">
        <v>4140</v>
      </c>
      <c r="D126" s="519" t="s">
        <v>1454</v>
      </c>
      <c r="E126" s="593"/>
      <c r="F126" s="616"/>
      <c r="G126" s="743"/>
      <c r="H126" s="763">
        <v>5000</v>
      </c>
      <c r="I126" s="13"/>
    </row>
    <row r="127" spans="1:11" x14ac:dyDescent="0.2">
      <c r="A127" s="71"/>
      <c r="B127" s="783" t="s">
        <v>1157</v>
      </c>
      <c r="C127" s="828" t="s">
        <v>1160</v>
      </c>
      <c r="D127" t="s">
        <v>701</v>
      </c>
      <c r="E127" s="593">
        <v>3585</v>
      </c>
      <c r="F127" s="616">
        <v>123</v>
      </c>
      <c r="G127" s="743">
        <v>0</v>
      </c>
      <c r="H127" s="763">
        <v>3706</v>
      </c>
      <c r="I127" s="13"/>
    </row>
    <row r="128" spans="1:11" x14ac:dyDescent="0.2">
      <c r="A128" s="71"/>
      <c r="B128" s="783" t="s">
        <v>1157</v>
      </c>
      <c r="C128" s="828" t="s">
        <v>1161</v>
      </c>
      <c r="D128" s="9" t="s">
        <v>702</v>
      </c>
      <c r="E128" s="593">
        <v>150</v>
      </c>
      <c r="F128" s="616">
        <v>124</v>
      </c>
      <c r="G128" s="743">
        <v>0</v>
      </c>
      <c r="H128" s="763">
        <v>6433</v>
      </c>
      <c r="I128" s="13"/>
    </row>
    <row r="129" spans="1:9" x14ac:dyDescent="0.2">
      <c r="B129" s="797" t="s">
        <v>601</v>
      </c>
      <c r="C129" s="779"/>
      <c r="D129" s="252"/>
      <c r="E129" s="594">
        <f t="shared" ref="E129:G129" si="0">SUM(E121:E128)</f>
        <v>15298</v>
      </c>
      <c r="F129" s="617">
        <f t="shared" si="0"/>
        <v>3000</v>
      </c>
      <c r="G129" s="744">
        <f t="shared" si="0"/>
        <v>0</v>
      </c>
      <c r="H129" s="764">
        <f>SUM(H121:H128)</f>
        <v>15139</v>
      </c>
      <c r="I129" s="15" t="e">
        <f>SUM(I122:I128)</f>
        <v>#REF!</v>
      </c>
    </row>
    <row r="130" spans="1:9" ht="6.95" customHeight="1" x14ac:dyDescent="0.2">
      <c r="A130" s="71"/>
      <c r="B130" s="730"/>
      <c r="C130" s="805"/>
      <c r="E130" s="593"/>
      <c r="F130" s="616"/>
      <c r="G130" s="743"/>
      <c r="H130" s="763"/>
      <c r="I130" s="13"/>
    </row>
    <row r="131" spans="1:9" x14ac:dyDescent="0.2">
      <c r="A131" s="71"/>
      <c r="B131" s="783">
        <v>1110118000</v>
      </c>
      <c r="C131" s="828" t="s">
        <v>1097</v>
      </c>
      <c r="D131" s="9" t="s">
        <v>712</v>
      </c>
      <c r="E131" s="593">
        <v>0</v>
      </c>
      <c r="F131" s="616">
        <v>0</v>
      </c>
      <c r="G131" s="743">
        <v>11242</v>
      </c>
      <c r="H131" s="763">
        <v>11242</v>
      </c>
      <c r="I131" s="13" t="e">
        <f>+#REF!-#REF!</f>
        <v>#REF!</v>
      </c>
    </row>
    <row r="132" spans="1:9" x14ac:dyDescent="0.2">
      <c r="A132" s="71"/>
      <c r="B132" s="783">
        <v>1110118000</v>
      </c>
      <c r="C132" s="828" t="s">
        <v>1098</v>
      </c>
      <c r="D132" s="9" t="s">
        <v>713</v>
      </c>
      <c r="E132" s="593">
        <v>0</v>
      </c>
      <c r="F132" s="616">
        <v>0</v>
      </c>
      <c r="G132" s="743">
        <v>0</v>
      </c>
      <c r="H132" s="763">
        <v>0</v>
      </c>
      <c r="I132" s="13" t="e">
        <f>+#REF!-#REF!</f>
        <v>#REF!</v>
      </c>
    </row>
    <row r="133" spans="1:9" x14ac:dyDescent="0.2">
      <c r="A133" s="71"/>
      <c r="B133" s="783">
        <v>1110118000</v>
      </c>
      <c r="C133" s="828" t="s">
        <v>1099</v>
      </c>
      <c r="D133" s="9" t="s">
        <v>750</v>
      </c>
      <c r="E133" s="593">
        <v>21011.61</v>
      </c>
      <c r="F133" s="616">
        <v>35000</v>
      </c>
      <c r="G133" s="743">
        <v>50320</v>
      </c>
      <c r="H133" s="763">
        <v>50320</v>
      </c>
      <c r="I133" s="13" t="e">
        <f>+#REF!-#REF!</f>
        <v>#REF!</v>
      </c>
    </row>
    <row r="134" spans="1:9" x14ac:dyDescent="0.2">
      <c r="A134" s="71"/>
      <c r="B134" s="783">
        <v>1110118000</v>
      </c>
      <c r="C134" s="828" t="s">
        <v>1100</v>
      </c>
      <c r="D134" s="9" t="s">
        <v>715</v>
      </c>
      <c r="E134" s="593">
        <v>0</v>
      </c>
      <c r="F134" s="616">
        <v>1500</v>
      </c>
      <c r="G134" s="743">
        <v>0</v>
      </c>
      <c r="H134" s="763">
        <v>0</v>
      </c>
      <c r="I134" s="13" t="e">
        <f>+#REF!-#REF!</f>
        <v>#REF!</v>
      </c>
    </row>
    <row r="135" spans="1:9" x14ac:dyDescent="0.2">
      <c r="A135" s="71"/>
      <c r="B135" s="783">
        <v>1110118000</v>
      </c>
      <c r="C135" s="828" t="s">
        <v>1101</v>
      </c>
      <c r="D135" s="9" t="s">
        <v>716</v>
      </c>
      <c r="E135" s="593">
        <v>1027.97</v>
      </c>
      <c r="F135" s="616">
        <v>1000</v>
      </c>
      <c r="G135" s="743">
        <v>1500</v>
      </c>
      <c r="H135" s="763">
        <v>1500</v>
      </c>
      <c r="I135" s="13" t="e">
        <f>+#REF!-#REF!</f>
        <v>#REF!</v>
      </c>
    </row>
    <row r="136" spans="1:9" x14ac:dyDescent="0.2">
      <c r="A136" s="71"/>
      <c r="B136" s="783">
        <v>1110118000</v>
      </c>
      <c r="C136" s="828" t="s">
        <v>1102</v>
      </c>
      <c r="D136" s="9" t="s">
        <v>717</v>
      </c>
      <c r="E136" s="593">
        <v>7435</v>
      </c>
      <c r="F136" s="616">
        <v>0</v>
      </c>
      <c r="G136" s="743">
        <v>3078</v>
      </c>
      <c r="H136" s="763">
        <v>3078</v>
      </c>
      <c r="I136" s="13" t="e">
        <f>+#REF!-#REF!</f>
        <v>#REF!</v>
      </c>
    </row>
    <row r="137" spans="1:9" x14ac:dyDescent="0.2">
      <c r="A137" s="71"/>
      <c r="B137" s="783">
        <v>1110118000</v>
      </c>
      <c r="C137" s="828" t="s">
        <v>903</v>
      </c>
      <c r="D137" s="9" t="s">
        <v>718</v>
      </c>
      <c r="E137" s="593">
        <v>14682</v>
      </c>
      <c r="F137" s="616">
        <v>11250</v>
      </c>
      <c r="G137" s="743">
        <v>19550</v>
      </c>
      <c r="H137" s="763">
        <v>19550</v>
      </c>
      <c r="I137" s="13" t="e">
        <f>+#REF!-#REF!</f>
        <v>#REF!</v>
      </c>
    </row>
    <row r="138" spans="1:9" x14ac:dyDescent="0.2">
      <c r="A138" s="71"/>
      <c r="B138" s="783">
        <v>1110118000</v>
      </c>
      <c r="C138" s="828" t="s">
        <v>904</v>
      </c>
      <c r="D138" s="9" t="s">
        <v>719</v>
      </c>
      <c r="E138" s="593">
        <v>3744</v>
      </c>
      <c r="F138" s="616">
        <v>2869</v>
      </c>
      <c r="G138" s="743">
        <v>4825</v>
      </c>
      <c r="H138" s="763">
        <v>4825</v>
      </c>
      <c r="I138" s="13" t="e">
        <f>+#REF!-#REF!</f>
        <v>#REF!</v>
      </c>
    </row>
    <row r="139" spans="1:9" x14ac:dyDescent="0.2">
      <c r="A139" s="71"/>
      <c r="B139" s="783">
        <v>1110118000</v>
      </c>
      <c r="C139" s="828" t="s">
        <v>1103</v>
      </c>
      <c r="D139" s="9" t="s">
        <v>749</v>
      </c>
      <c r="E139" s="593">
        <v>0</v>
      </c>
      <c r="F139" s="616">
        <v>0</v>
      </c>
      <c r="G139" s="743">
        <v>0</v>
      </c>
      <c r="H139" s="763">
        <v>0</v>
      </c>
      <c r="I139" s="13"/>
    </row>
    <row r="140" spans="1:9" hidden="1" x14ac:dyDescent="0.2">
      <c r="A140" s="71"/>
      <c r="B140" s="783">
        <v>1110118000</v>
      </c>
      <c r="C140" s="808"/>
      <c r="D140" s="9"/>
      <c r="E140" s="593">
        <v>0</v>
      </c>
      <c r="F140" s="616">
        <v>0</v>
      </c>
      <c r="G140" s="743">
        <v>0</v>
      </c>
      <c r="H140" s="763">
        <v>0</v>
      </c>
      <c r="I140" s="13" t="e">
        <f>+#REF!-#REF!</f>
        <v>#REF!</v>
      </c>
    </row>
    <row r="141" spans="1:9" hidden="1" x14ac:dyDescent="0.2">
      <c r="A141" s="71"/>
      <c r="B141" s="783">
        <v>1110118000</v>
      </c>
      <c r="C141" s="808"/>
      <c r="D141" s="9" t="s">
        <v>720</v>
      </c>
      <c r="E141" s="593">
        <v>0</v>
      </c>
      <c r="F141" s="616">
        <v>0</v>
      </c>
      <c r="G141" s="743">
        <v>0</v>
      </c>
      <c r="H141" s="763">
        <v>0</v>
      </c>
      <c r="I141" s="13" t="e">
        <f>+#REF!-#REF!</f>
        <v>#REF!</v>
      </c>
    </row>
    <row r="142" spans="1:9" hidden="1" x14ac:dyDescent="0.2">
      <c r="A142" s="71"/>
      <c r="B142" s="783">
        <v>1110118000</v>
      </c>
      <c r="C142" s="808"/>
      <c r="D142" s="9" t="s">
        <v>721</v>
      </c>
      <c r="E142" s="593">
        <v>0</v>
      </c>
      <c r="F142" s="616">
        <v>0</v>
      </c>
      <c r="G142" s="743">
        <v>0</v>
      </c>
      <c r="H142" s="763">
        <v>0</v>
      </c>
      <c r="I142" s="13" t="e">
        <f>+#REF!-#REF!</f>
        <v>#REF!</v>
      </c>
    </row>
    <row r="143" spans="1:9" x14ac:dyDescent="0.2">
      <c r="A143" s="71"/>
      <c r="B143" s="783">
        <v>1110118000</v>
      </c>
      <c r="C143" s="828" t="s">
        <v>1104</v>
      </c>
      <c r="D143" s="9" t="s">
        <v>722</v>
      </c>
      <c r="E143" s="593">
        <v>126</v>
      </c>
      <c r="F143" s="616">
        <v>200</v>
      </c>
      <c r="G143" s="743">
        <v>0</v>
      </c>
      <c r="H143" s="763">
        <v>0</v>
      </c>
      <c r="I143" s="13" t="e">
        <f>+#REF!-#REF!</f>
        <v>#REF!</v>
      </c>
    </row>
    <row r="144" spans="1:9" x14ac:dyDescent="0.2">
      <c r="A144" s="71"/>
      <c r="B144" s="783">
        <v>1110118000</v>
      </c>
      <c r="C144" s="828" t="s">
        <v>1105</v>
      </c>
      <c r="D144" s="9" t="s">
        <v>723</v>
      </c>
      <c r="E144" s="593">
        <v>1875</v>
      </c>
      <c r="F144" s="616">
        <v>500</v>
      </c>
      <c r="G144" s="743">
        <v>500</v>
      </c>
      <c r="H144" s="763">
        <v>500</v>
      </c>
      <c r="I144" s="13" t="e">
        <f>+#REF!-#REF!</f>
        <v>#REF!</v>
      </c>
    </row>
    <row r="145" spans="1:11" s="732" customFormat="1" x14ac:dyDescent="0.2">
      <c r="A145" s="71"/>
      <c r="B145" s="783">
        <v>1110118000</v>
      </c>
      <c r="C145" s="828">
        <v>5990.14</v>
      </c>
      <c r="D145" s="519" t="s">
        <v>1420</v>
      </c>
      <c r="E145" s="593"/>
      <c r="F145" s="616"/>
      <c r="G145" s="743">
        <v>1500</v>
      </c>
      <c r="H145" s="763">
        <v>750</v>
      </c>
      <c r="I145" s="13"/>
    </row>
    <row r="146" spans="1:11" x14ac:dyDescent="0.2">
      <c r="B146" s="797" t="s">
        <v>1455</v>
      </c>
      <c r="C146" s="779"/>
      <c r="D146" s="252"/>
      <c r="E146" s="594">
        <f>SUM(E131:E144)</f>
        <v>49901.58</v>
      </c>
      <c r="F146" s="617">
        <f>SUM(F131:F144)</f>
        <v>52319</v>
      </c>
      <c r="G146" s="744">
        <f>SUM(G131:G145)</f>
        <v>92515</v>
      </c>
      <c r="H146" s="764">
        <f>SUM(H131:H145)</f>
        <v>91765</v>
      </c>
      <c r="I146" s="15" t="e">
        <f>SUM(I131:I144)</f>
        <v>#REF!</v>
      </c>
      <c r="J146" s="13" t="s">
        <v>600</v>
      </c>
      <c r="K146" s="9" t="s">
        <v>638</v>
      </c>
    </row>
    <row r="147" spans="1:11" ht="5.65" customHeight="1" x14ac:dyDescent="0.2">
      <c r="A147" s="71"/>
      <c r="B147" s="730"/>
      <c r="C147" s="805"/>
      <c r="E147" s="593"/>
      <c r="F147" s="616"/>
      <c r="G147" s="743"/>
      <c r="H147" s="763"/>
      <c r="I147" s="13"/>
    </row>
    <row r="148" spans="1:11" s="760" customFormat="1" x14ac:dyDescent="0.2">
      <c r="A148" s="71"/>
      <c r="B148" s="783">
        <v>1110118340</v>
      </c>
      <c r="C148" s="828">
        <v>1240.1110000000001</v>
      </c>
      <c r="D148" s="760" t="s">
        <v>1465</v>
      </c>
      <c r="E148" s="593"/>
      <c r="F148" s="616"/>
      <c r="G148" s="743"/>
      <c r="H148" s="763">
        <v>24725</v>
      </c>
      <c r="I148" s="13"/>
    </row>
    <row r="149" spans="1:11" s="760" customFormat="1" x14ac:dyDescent="0.2">
      <c r="A149" s="71"/>
      <c r="B149" s="783">
        <v>1110118340</v>
      </c>
      <c r="C149" s="828">
        <v>1630.1120000000001</v>
      </c>
      <c r="D149" s="760" t="s">
        <v>1466</v>
      </c>
      <c r="E149" s="593"/>
      <c r="F149" s="616"/>
      <c r="G149" s="743"/>
      <c r="H149" s="763">
        <v>15364</v>
      </c>
      <c r="I149" s="13"/>
    </row>
    <row r="150" spans="1:11" s="760" customFormat="1" x14ac:dyDescent="0.2">
      <c r="A150" s="71"/>
      <c r="B150" s="783">
        <v>1110118340</v>
      </c>
      <c r="C150" s="828">
        <v>1870.106</v>
      </c>
      <c r="D150" s="760" t="s">
        <v>1467</v>
      </c>
      <c r="E150" s="593"/>
      <c r="F150" s="616"/>
      <c r="G150" s="743"/>
      <c r="H150" s="763">
        <v>1000</v>
      </c>
      <c r="I150" s="13"/>
    </row>
    <row r="151" spans="1:11" s="760" customFormat="1" x14ac:dyDescent="0.2">
      <c r="A151" s="71"/>
      <c r="B151" s="783">
        <v>1110118340</v>
      </c>
      <c r="C151" s="828">
        <v>1890.116</v>
      </c>
      <c r="D151" s="760" t="s">
        <v>1468</v>
      </c>
      <c r="E151" s="593"/>
      <c r="F151" s="616"/>
      <c r="G151" s="743"/>
      <c r="H151" s="763">
        <v>1500</v>
      </c>
      <c r="I151" s="13"/>
    </row>
    <row r="152" spans="1:11" s="760" customFormat="1" x14ac:dyDescent="0.2">
      <c r="A152" s="71"/>
      <c r="B152" s="783">
        <v>1110118340</v>
      </c>
      <c r="C152" s="828">
        <v>2130.1109999999999</v>
      </c>
      <c r="D152" s="760" t="s">
        <v>1469</v>
      </c>
      <c r="E152" s="593"/>
      <c r="F152" s="616"/>
      <c r="G152" s="743"/>
      <c r="H152" s="763">
        <v>6240</v>
      </c>
      <c r="I152" s="13"/>
    </row>
    <row r="153" spans="1:11" s="760" customFormat="1" x14ac:dyDescent="0.2">
      <c r="A153" s="71"/>
      <c r="B153" s="783">
        <v>1110118340</v>
      </c>
      <c r="C153" s="828">
        <v>2820</v>
      </c>
      <c r="D153" s="760" t="s">
        <v>280</v>
      </c>
      <c r="E153" s="593"/>
      <c r="F153" s="616"/>
      <c r="G153" s="743"/>
      <c r="H153" s="763">
        <v>13203</v>
      </c>
      <c r="I153" s="13"/>
    </row>
    <row r="154" spans="1:11" s="760" customFormat="1" x14ac:dyDescent="0.2">
      <c r="A154" s="71"/>
      <c r="B154" s="783">
        <v>1110118340</v>
      </c>
      <c r="C154" s="828">
        <v>2830</v>
      </c>
      <c r="D154" s="760" t="s">
        <v>155</v>
      </c>
      <c r="E154" s="593"/>
      <c r="F154" s="616"/>
      <c r="G154" s="743"/>
      <c r="H154" s="763">
        <v>3259</v>
      </c>
      <c r="I154" s="13"/>
    </row>
    <row r="155" spans="1:11" s="760" customFormat="1" x14ac:dyDescent="0.2">
      <c r="A155" s="71"/>
      <c r="B155" s="783">
        <v>1110118340</v>
      </c>
      <c r="C155" s="828"/>
      <c r="D155" s="760" t="s">
        <v>1470</v>
      </c>
      <c r="E155" s="593"/>
      <c r="F155" s="616"/>
      <c r="G155" s="743"/>
      <c r="H155" s="763">
        <v>5000</v>
      </c>
      <c r="I155" s="13"/>
    </row>
    <row r="156" spans="1:11" x14ac:dyDescent="0.2">
      <c r="A156" s="71"/>
      <c r="B156" s="783">
        <v>1110118340</v>
      </c>
      <c r="C156" s="828"/>
      <c r="D156" s="519" t="s">
        <v>1267</v>
      </c>
      <c r="E156" s="593">
        <v>0</v>
      </c>
      <c r="F156" s="616">
        <v>0</v>
      </c>
      <c r="G156" s="743">
        <v>0</v>
      </c>
      <c r="H156" s="763">
        <v>1000</v>
      </c>
      <c r="I156" s="13" t="e">
        <f>+#REF!-#REF!</f>
        <v>#REF!</v>
      </c>
      <c r="K156" s="102"/>
    </row>
    <row r="157" spans="1:11" x14ac:dyDescent="0.2">
      <c r="A157" s="71"/>
      <c r="B157" s="783">
        <v>1110118340</v>
      </c>
      <c r="C157" s="828"/>
      <c r="D157" s="519" t="s">
        <v>628</v>
      </c>
      <c r="E157" s="593">
        <v>0</v>
      </c>
      <c r="F157" s="616">
        <v>0</v>
      </c>
      <c r="G157" s="743">
        <v>0</v>
      </c>
      <c r="H157" s="763">
        <v>2500</v>
      </c>
      <c r="I157" s="13" t="e">
        <f>+#REF!-#REF!</f>
        <v>#REF!</v>
      </c>
    </row>
    <row r="158" spans="1:11" x14ac:dyDescent="0.2">
      <c r="A158" s="71"/>
      <c r="B158" s="783">
        <v>1110118340</v>
      </c>
      <c r="C158" s="828"/>
      <c r="D158" s="519" t="s">
        <v>1471</v>
      </c>
      <c r="E158" s="593">
        <v>0</v>
      </c>
      <c r="F158" s="616">
        <v>0</v>
      </c>
      <c r="G158" s="743">
        <v>0</v>
      </c>
      <c r="H158" s="763">
        <v>2500</v>
      </c>
      <c r="I158" s="13" t="e">
        <f>+#REF!-#REF!</f>
        <v>#REF!</v>
      </c>
    </row>
    <row r="159" spans="1:11" x14ac:dyDescent="0.2">
      <c r="A159" s="71"/>
      <c r="B159" s="783">
        <v>1110118340</v>
      </c>
      <c r="C159" s="828"/>
      <c r="D159" s="519" t="s">
        <v>1472</v>
      </c>
      <c r="E159" s="593">
        <f>+(E157+E156)*7.65%</f>
        <v>0</v>
      </c>
      <c r="F159" s="616">
        <f>+(F157+F156)*7.65%</f>
        <v>0</v>
      </c>
      <c r="G159" s="743">
        <f>+(G157+G156)*7.65%</f>
        <v>0</v>
      </c>
      <c r="H159" s="763">
        <v>27239</v>
      </c>
      <c r="I159" s="13" t="e">
        <f>+#REF!-#REF!</f>
        <v>#REF!</v>
      </c>
    </row>
    <row r="160" spans="1:11" s="760" customFormat="1" x14ac:dyDescent="0.2">
      <c r="A160" s="71"/>
      <c r="B160" s="783">
        <v>1110118340</v>
      </c>
      <c r="C160" s="828"/>
      <c r="D160" s="519" t="s">
        <v>1473</v>
      </c>
      <c r="E160" s="593"/>
      <c r="F160" s="616"/>
      <c r="G160" s="743"/>
      <c r="H160" s="763">
        <v>2000</v>
      </c>
      <c r="I160" s="13"/>
    </row>
    <row r="161" spans="1:12" s="760" customFormat="1" x14ac:dyDescent="0.2">
      <c r="A161" s="71"/>
      <c r="B161" s="783">
        <v>1110118340</v>
      </c>
      <c r="C161" s="828"/>
      <c r="D161" s="519" t="s">
        <v>1474</v>
      </c>
      <c r="E161" s="593"/>
      <c r="F161" s="616"/>
      <c r="G161" s="743"/>
      <c r="H161" s="763">
        <v>1000</v>
      </c>
      <c r="I161" s="13"/>
    </row>
    <row r="162" spans="1:12" s="760" customFormat="1" x14ac:dyDescent="0.2">
      <c r="A162" s="71"/>
      <c r="B162" s="783">
        <v>1110118340</v>
      </c>
      <c r="C162" s="828"/>
      <c r="D162" s="519" t="s">
        <v>1475</v>
      </c>
      <c r="E162" s="593"/>
      <c r="F162" s="616"/>
      <c r="G162" s="743"/>
      <c r="H162" s="763">
        <v>5963</v>
      </c>
      <c r="I162" s="13"/>
    </row>
    <row r="163" spans="1:12" s="760" customFormat="1" x14ac:dyDescent="0.2">
      <c r="A163" s="71"/>
      <c r="B163" s="783">
        <v>1110118340</v>
      </c>
      <c r="C163" s="828"/>
      <c r="D163" s="519" t="s">
        <v>1476</v>
      </c>
      <c r="E163" s="593"/>
      <c r="F163" s="616"/>
      <c r="G163" s="743"/>
      <c r="H163" s="763">
        <v>4750</v>
      </c>
      <c r="I163" s="13"/>
    </row>
    <row r="164" spans="1:12" s="760" customFormat="1" x14ac:dyDescent="0.2">
      <c r="A164" s="71"/>
      <c r="B164" s="783">
        <v>1110118340</v>
      </c>
      <c r="C164" s="828"/>
      <c r="D164" s="519" t="s">
        <v>280</v>
      </c>
      <c r="E164" s="593"/>
      <c r="F164" s="616"/>
      <c r="G164" s="743"/>
      <c r="H164" s="763">
        <v>1488</v>
      </c>
      <c r="I164" s="13"/>
    </row>
    <row r="165" spans="1:12" s="760" customFormat="1" x14ac:dyDescent="0.2">
      <c r="A165" s="71"/>
      <c r="B165" s="783">
        <v>1110118340</v>
      </c>
      <c r="C165" s="828"/>
      <c r="D165" s="519" t="s">
        <v>155</v>
      </c>
      <c r="E165" s="593"/>
      <c r="F165" s="616"/>
      <c r="G165" s="743"/>
      <c r="H165" s="763">
        <v>364</v>
      </c>
      <c r="I165" s="13"/>
    </row>
    <row r="166" spans="1:12" s="760" customFormat="1" x14ac:dyDescent="0.2">
      <c r="A166" s="71"/>
      <c r="B166" s="783">
        <v>1110118340</v>
      </c>
      <c r="C166" s="828"/>
      <c r="D166" s="519" t="s">
        <v>1477</v>
      </c>
      <c r="E166" s="593"/>
      <c r="F166" s="616"/>
      <c r="G166" s="743"/>
      <c r="H166" s="763">
        <v>485</v>
      </c>
      <c r="I166" s="13"/>
    </row>
    <row r="167" spans="1:12" s="760" customFormat="1" x14ac:dyDescent="0.2">
      <c r="A167" s="71"/>
      <c r="B167" s="783">
        <v>1110118340</v>
      </c>
      <c r="C167" s="828"/>
      <c r="D167" s="519" t="s">
        <v>280</v>
      </c>
      <c r="E167" s="593"/>
      <c r="F167" s="616"/>
      <c r="G167" s="743"/>
      <c r="H167" s="763">
        <v>146</v>
      </c>
      <c r="I167" s="13"/>
    </row>
    <row r="168" spans="1:12" s="760" customFormat="1" x14ac:dyDescent="0.2">
      <c r="A168" s="71"/>
      <c r="B168" s="783">
        <v>1110118340</v>
      </c>
      <c r="C168" s="828"/>
      <c r="D168" s="519" t="s">
        <v>155</v>
      </c>
      <c r="E168" s="593"/>
      <c r="F168" s="616"/>
      <c r="G168" s="743"/>
      <c r="H168" s="763">
        <v>38</v>
      </c>
      <c r="I168" s="13"/>
    </row>
    <row r="169" spans="1:12" s="760" customFormat="1" x14ac:dyDescent="0.2">
      <c r="A169" s="71"/>
      <c r="B169" s="783">
        <v>1110118340</v>
      </c>
      <c r="C169" s="828"/>
      <c r="D169" s="519" t="s">
        <v>1478</v>
      </c>
      <c r="E169" s="593"/>
      <c r="F169" s="616"/>
      <c r="G169" s="743"/>
      <c r="H169" s="763">
        <v>500</v>
      </c>
      <c r="I169" s="13"/>
    </row>
    <row r="170" spans="1:12" s="760" customFormat="1" x14ac:dyDescent="0.2">
      <c r="A170" s="71"/>
      <c r="B170" s="783">
        <v>1110118340</v>
      </c>
      <c r="C170" s="828"/>
      <c r="D170" s="519" t="s">
        <v>334</v>
      </c>
      <c r="E170" s="593"/>
      <c r="F170" s="616"/>
      <c r="G170" s="743"/>
      <c r="H170" s="763">
        <v>500</v>
      </c>
      <c r="I170" s="13"/>
    </row>
    <row r="171" spans="1:12" s="760" customFormat="1" x14ac:dyDescent="0.2">
      <c r="A171" s="71"/>
      <c r="B171" s="783">
        <v>1110118340</v>
      </c>
      <c r="C171" s="828"/>
      <c r="D171" s="519" t="s">
        <v>1479</v>
      </c>
      <c r="E171" s="593"/>
      <c r="F171" s="616"/>
      <c r="G171" s="743"/>
      <c r="H171" s="763">
        <v>2000</v>
      </c>
      <c r="I171" s="13"/>
    </row>
    <row r="172" spans="1:12" x14ac:dyDescent="0.2">
      <c r="B172" s="797" t="s">
        <v>1464</v>
      </c>
      <c r="C172" s="779"/>
      <c r="D172" s="252"/>
      <c r="E172" s="594">
        <f>SUM(E156:E159)</f>
        <v>0</v>
      </c>
      <c r="F172" s="617">
        <f t="shared" ref="F172:G172" si="1">SUM(F156:F159)</f>
        <v>0</v>
      </c>
      <c r="G172" s="744">
        <f t="shared" si="1"/>
        <v>0</v>
      </c>
      <c r="H172" s="764">
        <f>SUM(H148:H171)</f>
        <v>122764</v>
      </c>
      <c r="I172" s="15" t="e">
        <f>SUM(I156:I159)</f>
        <v>#REF!</v>
      </c>
    </row>
    <row r="173" spans="1:12" ht="8.65" customHeight="1" x14ac:dyDescent="0.2">
      <c r="A173" s="71"/>
      <c r="B173" s="730"/>
      <c r="C173" s="805"/>
      <c r="E173" s="593"/>
      <c r="F173" s="616"/>
      <c r="G173" s="743"/>
      <c r="H173" s="763"/>
      <c r="I173" s="13"/>
    </row>
    <row r="174" spans="1:12" x14ac:dyDescent="0.2">
      <c r="A174" s="71"/>
      <c r="B174" s="783">
        <v>1110118000</v>
      </c>
      <c r="C174" s="828"/>
      <c r="D174" s="519" t="s">
        <v>1480</v>
      </c>
      <c r="E174" s="593">
        <v>0</v>
      </c>
      <c r="F174" s="616">
        <v>0</v>
      </c>
      <c r="G174" s="743">
        <v>0</v>
      </c>
      <c r="H174" s="763">
        <v>9000</v>
      </c>
      <c r="I174" s="13" t="e">
        <f>+#REF!-#REF!</f>
        <v>#REF!</v>
      </c>
      <c r="L174" s="102"/>
    </row>
    <row r="175" spans="1:12" x14ac:dyDescent="0.2">
      <c r="A175" s="71"/>
      <c r="B175" s="783">
        <v>1110118000</v>
      </c>
      <c r="C175" s="828"/>
      <c r="D175" s="519" t="s">
        <v>1481</v>
      </c>
      <c r="E175" s="593">
        <v>0</v>
      </c>
      <c r="F175" s="616">
        <v>0</v>
      </c>
      <c r="G175" s="743">
        <v>0</v>
      </c>
      <c r="H175" s="763">
        <v>9010</v>
      </c>
      <c r="I175" s="13" t="e">
        <f>+#REF!-#REF!</f>
        <v>#REF!</v>
      </c>
    </row>
    <row r="176" spans="1:12" x14ac:dyDescent="0.2">
      <c r="A176" s="71"/>
      <c r="B176" s="783">
        <v>1110118000</v>
      </c>
      <c r="C176" s="828"/>
      <c r="D176" s="519" t="s">
        <v>280</v>
      </c>
      <c r="E176" s="593">
        <v>0</v>
      </c>
      <c r="F176" s="616">
        <v>0</v>
      </c>
      <c r="G176" s="743">
        <v>0</v>
      </c>
      <c r="H176" s="763">
        <v>5403</v>
      </c>
      <c r="I176" s="13" t="e">
        <f>+#REF!-#REF!</f>
        <v>#REF!</v>
      </c>
    </row>
    <row r="177" spans="1:18" s="760" customFormat="1" x14ac:dyDescent="0.2">
      <c r="A177" s="71"/>
      <c r="B177" s="783">
        <v>1110118000</v>
      </c>
      <c r="C177" s="828"/>
      <c r="D177" s="519" t="s">
        <v>155</v>
      </c>
      <c r="E177" s="593"/>
      <c r="F177" s="616"/>
      <c r="G177" s="743"/>
      <c r="H177" s="763">
        <v>1378</v>
      </c>
      <c r="I177" s="13"/>
    </row>
    <row r="178" spans="1:18" s="760" customFormat="1" x14ac:dyDescent="0.2">
      <c r="A178" s="71"/>
      <c r="B178" s="783">
        <v>1110118000</v>
      </c>
      <c r="C178" s="828"/>
      <c r="D178" s="519" t="s">
        <v>1482</v>
      </c>
      <c r="E178" s="593"/>
      <c r="F178" s="616"/>
      <c r="G178" s="743"/>
      <c r="H178" s="763">
        <v>209</v>
      </c>
      <c r="I178" s="13"/>
    </row>
    <row r="179" spans="1:18" x14ac:dyDescent="0.2">
      <c r="B179" s="797" t="s">
        <v>1483</v>
      </c>
      <c r="C179" s="779"/>
      <c r="D179" s="252"/>
      <c r="E179" s="594">
        <f>SUM(E174:E176)</f>
        <v>0</v>
      </c>
      <c r="F179" s="617">
        <f t="shared" ref="F179:G179" si="2">SUM(F174:F176)</f>
        <v>0</v>
      </c>
      <c r="G179" s="744">
        <f t="shared" si="2"/>
        <v>0</v>
      </c>
      <c r="H179" s="764">
        <f>SUM(H174:H178)</f>
        <v>25000</v>
      </c>
      <c r="I179" s="15" t="e">
        <f>SUM(I174:I176)</f>
        <v>#REF!</v>
      </c>
    </row>
    <row r="180" spans="1:18" ht="6" customHeight="1" x14ac:dyDescent="0.2">
      <c r="A180" s="71"/>
      <c r="B180" s="730"/>
      <c r="C180" s="805"/>
      <c r="E180" s="593"/>
      <c r="F180" s="616"/>
      <c r="G180" s="743"/>
      <c r="H180" s="763"/>
      <c r="I180" s="13"/>
    </row>
    <row r="181" spans="1:18" s="760" customFormat="1" x14ac:dyDescent="0.2">
      <c r="A181" s="71"/>
      <c r="B181" s="783">
        <v>1100120340</v>
      </c>
      <c r="C181" s="828">
        <v>1610.104</v>
      </c>
      <c r="D181" s="760" t="s">
        <v>1485</v>
      </c>
      <c r="E181" s="593"/>
      <c r="F181" s="616"/>
      <c r="G181" s="743"/>
      <c r="H181" s="763">
        <v>11119</v>
      </c>
      <c r="I181" s="13"/>
    </row>
    <row r="182" spans="1:18" x14ac:dyDescent="0.2">
      <c r="A182" s="71"/>
      <c r="B182" s="783">
        <v>1100120340</v>
      </c>
      <c r="C182" s="828">
        <v>2820.1060000000002</v>
      </c>
      <c r="D182" s="519" t="s">
        <v>1486</v>
      </c>
      <c r="E182" s="593">
        <v>0</v>
      </c>
      <c r="F182" s="616">
        <v>0</v>
      </c>
      <c r="G182" s="743">
        <v>0</v>
      </c>
      <c r="H182" s="763">
        <v>3411</v>
      </c>
      <c r="I182" s="13" t="e">
        <f>+#REF!-#REF!</f>
        <v>#REF!</v>
      </c>
    </row>
    <row r="183" spans="1:18" x14ac:dyDescent="0.2">
      <c r="A183" s="71"/>
      <c r="B183" s="783">
        <v>1100120340</v>
      </c>
      <c r="C183" s="828">
        <v>2830.105</v>
      </c>
      <c r="D183" s="519" t="s">
        <v>1487</v>
      </c>
      <c r="E183" s="593">
        <v>0</v>
      </c>
      <c r="F183" s="616">
        <v>0</v>
      </c>
      <c r="G183" s="743">
        <v>0</v>
      </c>
      <c r="H183" s="763">
        <v>851</v>
      </c>
      <c r="I183" s="13" t="e">
        <f>+#REF!-#REF!</f>
        <v>#REF!</v>
      </c>
    </row>
    <row r="184" spans="1:18" x14ac:dyDescent="0.2">
      <c r="B184" s="797" t="s">
        <v>1484</v>
      </c>
      <c r="C184" s="779"/>
      <c r="D184" s="252"/>
      <c r="E184" s="594">
        <f>SUM(E182:E183)</f>
        <v>0</v>
      </c>
      <c r="F184" s="617">
        <f>SUM(F182:F183)</f>
        <v>0</v>
      </c>
      <c r="G184" s="744">
        <f>SUM(G182:G183)</f>
        <v>0</v>
      </c>
      <c r="H184" s="764">
        <f>SUM(H182:H183)</f>
        <v>4262</v>
      </c>
      <c r="I184" s="15" t="e">
        <f>SUM(I182:I183)</f>
        <v>#REF!</v>
      </c>
    </row>
    <row r="185" spans="1:18" ht="7.35" customHeight="1" x14ac:dyDescent="0.2">
      <c r="A185" s="71"/>
      <c r="B185" s="730"/>
      <c r="C185" s="805"/>
      <c r="E185" s="593"/>
      <c r="F185" s="616"/>
      <c r="G185" s="743"/>
      <c r="H185" s="763"/>
      <c r="I185" s="13"/>
    </row>
    <row r="186" spans="1:18" x14ac:dyDescent="0.2">
      <c r="A186" s="71"/>
      <c r="B186" s="783" t="s">
        <v>931</v>
      </c>
      <c r="C186" s="828" t="s">
        <v>930</v>
      </c>
      <c r="D186" s="9" t="s">
        <v>310</v>
      </c>
      <c r="E186" s="593">
        <v>117335</v>
      </c>
      <c r="F186" s="616">
        <v>120574</v>
      </c>
      <c r="G186" s="743">
        <v>116572</v>
      </c>
      <c r="H186" s="763">
        <v>118277</v>
      </c>
      <c r="I186" s="13" t="e">
        <f>+#REF!-#REF!</f>
        <v>#REF!</v>
      </c>
    </row>
    <row r="187" spans="1:18" x14ac:dyDescent="0.2">
      <c r="A187" s="71"/>
      <c r="B187" s="783" t="s">
        <v>931</v>
      </c>
      <c r="C187" s="828" t="s">
        <v>932</v>
      </c>
      <c r="D187" s="9" t="s">
        <v>455</v>
      </c>
      <c r="E187" s="593">
        <v>0</v>
      </c>
      <c r="F187" s="616">
        <v>0</v>
      </c>
      <c r="G187" s="743">
        <v>0</v>
      </c>
      <c r="H187" s="763">
        <v>0</v>
      </c>
      <c r="I187" s="13" t="e">
        <f>+#REF!-#REF!</f>
        <v>#REF!</v>
      </c>
      <c r="P187" s="789"/>
      <c r="Q187" s="789"/>
      <c r="R187" s="789"/>
    </row>
    <row r="188" spans="1:18" x14ac:dyDescent="0.2">
      <c r="A188" s="71"/>
      <c r="B188" s="783">
        <v>1100122202</v>
      </c>
      <c r="C188" s="828" t="s">
        <v>1106</v>
      </c>
      <c r="D188" s="788" t="s">
        <v>269</v>
      </c>
      <c r="E188" s="593">
        <v>28000</v>
      </c>
      <c r="F188" s="616">
        <v>47175</v>
      </c>
      <c r="G188" s="743">
        <v>46748</v>
      </c>
      <c r="H188" s="763">
        <v>59548</v>
      </c>
      <c r="I188" s="13" t="e">
        <f>+#REF!-#REF!</f>
        <v>#REF!</v>
      </c>
      <c r="P188" s="789"/>
      <c r="Q188" s="789"/>
      <c r="R188" s="790"/>
    </row>
    <row r="189" spans="1:18" x14ac:dyDescent="0.2">
      <c r="A189" s="71"/>
      <c r="B189" s="783" t="s">
        <v>931</v>
      </c>
      <c r="C189" s="828" t="s">
        <v>934</v>
      </c>
      <c r="D189" s="788" t="s">
        <v>268</v>
      </c>
      <c r="E189" s="593">
        <v>0</v>
      </c>
      <c r="F189" s="616">
        <v>0</v>
      </c>
      <c r="G189" s="743">
        <v>1000</v>
      </c>
      <c r="H189" s="763">
        <v>600</v>
      </c>
      <c r="I189" s="13" t="e">
        <f>+#REF!-#REF!</f>
        <v>#REF!</v>
      </c>
      <c r="P189" s="789"/>
      <c r="Q189" s="789"/>
      <c r="R189" s="789"/>
    </row>
    <row r="190" spans="1:18" x14ac:dyDescent="0.2">
      <c r="A190" s="71"/>
      <c r="B190" s="783" t="s">
        <v>931</v>
      </c>
      <c r="C190" s="828" t="s">
        <v>933</v>
      </c>
      <c r="D190" s="788" t="s">
        <v>312</v>
      </c>
      <c r="E190" s="593">
        <v>4000</v>
      </c>
      <c r="F190" s="616">
        <v>3000</v>
      </c>
      <c r="G190" s="743">
        <v>3000</v>
      </c>
      <c r="H190" s="763">
        <v>3000</v>
      </c>
      <c r="I190" s="13" t="e">
        <f>+#REF!-#REF!</f>
        <v>#REF!</v>
      </c>
      <c r="P190" s="789"/>
      <c r="Q190" s="789"/>
      <c r="R190" s="789"/>
    </row>
    <row r="191" spans="1:18" x14ac:dyDescent="0.2">
      <c r="A191" s="71"/>
      <c r="B191" s="783">
        <v>1100122202</v>
      </c>
      <c r="C191" s="828" t="s">
        <v>1107</v>
      </c>
      <c r="D191" s="788" t="s">
        <v>311</v>
      </c>
      <c r="E191" s="593">
        <v>4700</v>
      </c>
      <c r="F191" s="616">
        <v>3500</v>
      </c>
      <c r="G191" s="743">
        <v>3000</v>
      </c>
      <c r="H191" s="763">
        <v>3000</v>
      </c>
      <c r="I191" s="13" t="e">
        <f>+#REF!-#REF!</f>
        <v>#REF!</v>
      </c>
      <c r="P191" s="790"/>
      <c r="Q191" s="789"/>
      <c r="R191" s="790"/>
    </row>
    <row r="192" spans="1:18" x14ac:dyDescent="0.2">
      <c r="A192" s="71"/>
      <c r="B192" s="783" t="s">
        <v>931</v>
      </c>
      <c r="C192" s="828" t="s">
        <v>935</v>
      </c>
      <c r="D192" s="9" t="s">
        <v>270</v>
      </c>
      <c r="E192" s="593">
        <v>34940</v>
      </c>
      <c r="F192" s="616">
        <v>32411</v>
      </c>
      <c r="G192" s="743">
        <v>31262</v>
      </c>
      <c r="H192" s="763">
        <v>36349</v>
      </c>
      <c r="I192" s="13" t="e">
        <f>+#REF!-#REF!</f>
        <v>#REF!</v>
      </c>
      <c r="P192" s="789"/>
      <c r="Q192" s="789"/>
      <c r="R192" s="789"/>
    </row>
    <row r="193" spans="1:18" x14ac:dyDescent="0.2">
      <c r="A193" s="71"/>
      <c r="B193" s="783" t="s">
        <v>931</v>
      </c>
      <c r="C193" s="828" t="s">
        <v>903</v>
      </c>
      <c r="D193" s="9" t="s">
        <v>271</v>
      </c>
      <c r="E193" s="593">
        <v>46211</v>
      </c>
      <c r="F193" s="616">
        <v>48495</v>
      </c>
      <c r="G193" s="743">
        <v>48893</v>
      </c>
      <c r="H193" s="763">
        <v>53266</v>
      </c>
      <c r="I193" s="13" t="e">
        <f>+#REF!-#REF!</f>
        <v>#REF!</v>
      </c>
      <c r="P193" s="789"/>
      <c r="Q193" s="789"/>
      <c r="R193" s="789"/>
    </row>
    <row r="194" spans="1:18" x14ac:dyDescent="0.2">
      <c r="A194" s="71"/>
      <c r="B194" s="783" t="s">
        <v>931</v>
      </c>
      <c r="C194" s="828" t="s">
        <v>936</v>
      </c>
      <c r="D194" s="9" t="s">
        <v>440</v>
      </c>
      <c r="E194" s="593">
        <v>64616</v>
      </c>
      <c r="F194" s="616">
        <v>29989</v>
      </c>
      <c r="G194" s="743">
        <v>29989</v>
      </c>
      <c r="H194" s="763">
        <v>29989</v>
      </c>
      <c r="I194" s="13" t="e">
        <f>+#REF!-#REF!</f>
        <v>#REF!</v>
      </c>
    </row>
    <row r="195" spans="1:18" x14ac:dyDescent="0.2">
      <c r="A195" s="71"/>
      <c r="B195" s="783" t="s">
        <v>931</v>
      </c>
      <c r="C195" s="828" t="s">
        <v>904</v>
      </c>
      <c r="D195" s="9" t="s">
        <v>272</v>
      </c>
      <c r="E195" s="593">
        <v>11784</v>
      </c>
      <c r="F195" s="616">
        <v>13331</v>
      </c>
      <c r="G195" s="743">
        <v>13030</v>
      </c>
      <c r="H195" s="763">
        <v>14109</v>
      </c>
      <c r="I195" s="13" t="e">
        <f>+#REF!-#REF!</f>
        <v>#REF!</v>
      </c>
    </row>
    <row r="196" spans="1:18" x14ac:dyDescent="0.2">
      <c r="A196" s="71"/>
      <c r="B196" s="783" t="s">
        <v>931</v>
      </c>
      <c r="C196" s="828" t="s">
        <v>937</v>
      </c>
      <c r="D196" s="9" t="s">
        <v>273</v>
      </c>
      <c r="E196" s="593">
        <v>600</v>
      </c>
      <c r="F196" s="616">
        <v>300</v>
      </c>
      <c r="G196" s="743">
        <v>300</v>
      </c>
      <c r="H196" s="763">
        <v>300</v>
      </c>
      <c r="I196" s="13" t="e">
        <f>+#REF!-#REF!</f>
        <v>#REF!</v>
      </c>
    </row>
    <row r="197" spans="1:18" x14ac:dyDescent="0.2">
      <c r="A197" s="71"/>
      <c r="B197" s="783" t="s">
        <v>931</v>
      </c>
      <c r="C197" s="828" t="s">
        <v>938</v>
      </c>
      <c r="D197" s="519" t="s">
        <v>1456</v>
      </c>
      <c r="E197" s="593">
        <v>0</v>
      </c>
      <c r="F197" s="616">
        <v>0</v>
      </c>
      <c r="G197" s="743">
        <v>0</v>
      </c>
      <c r="H197" s="763">
        <v>0</v>
      </c>
      <c r="I197" s="13" t="e">
        <f>+#REF!-#REF!</f>
        <v>#REF!</v>
      </c>
    </row>
    <row r="198" spans="1:18" x14ac:dyDescent="0.2">
      <c r="A198" s="71"/>
      <c r="B198" s="783" t="s">
        <v>931</v>
      </c>
      <c r="C198" s="828" t="s">
        <v>941</v>
      </c>
      <c r="D198" s="9" t="s">
        <v>738</v>
      </c>
      <c r="E198" s="593">
        <v>0</v>
      </c>
      <c r="F198" s="616">
        <v>0</v>
      </c>
      <c r="G198" s="743">
        <v>0</v>
      </c>
      <c r="H198" s="763">
        <v>0</v>
      </c>
      <c r="I198" s="13"/>
    </row>
    <row r="199" spans="1:18" x14ac:dyDescent="0.2">
      <c r="A199" s="71"/>
      <c r="B199" s="783" t="s">
        <v>931</v>
      </c>
      <c r="C199" s="828" t="s">
        <v>940</v>
      </c>
      <c r="D199" s="9" t="s">
        <v>274</v>
      </c>
      <c r="E199" s="593">
        <v>0</v>
      </c>
      <c r="F199" s="616">
        <v>500</v>
      </c>
      <c r="G199" s="743">
        <v>500</v>
      </c>
      <c r="H199" s="763">
        <v>500</v>
      </c>
      <c r="I199" s="13" t="e">
        <f>+#REF!-#REF!</f>
        <v>#REF!</v>
      </c>
    </row>
    <row r="200" spans="1:18" x14ac:dyDescent="0.2">
      <c r="A200" s="71"/>
      <c r="B200" s="783" t="s">
        <v>931</v>
      </c>
      <c r="C200" s="828" t="s">
        <v>939</v>
      </c>
      <c r="D200" s="9" t="s">
        <v>275</v>
      </c>
      <c r="E200" s="593">
        <v>1000</v>
      </c>
      <c r="F200" s="616">
        <v>1000</v>
      </c>
      <c r="G200" s="743">
        <v>1000</v>
      </c>
      <c r="H200" s="763">
        <v>500</v>
      </c>
      <c r="I200" s="13" t="e">
        <f>+#REF!-#REF!</f>
        <v>#REF!</v>
      </c>
    </row>
    <row r="201" spans="1:18" x14ac:dyDescent="0.2">
      <c r="B201" s="797" t="s">
        <v>18</v>
      </c>
      <c r="C201" s="779"/>
      <c r="D201" s="252"/>
      <c r="E201" s="594">
        <f>SUM(E186:E200)</f>
        <v>313186</v>
      </c>
      <c r="F201" s="617">
        <f>SUM(F186:F200)</f>
        <v>300275</v>
      </c>
      <c r="G201" s="744">
        <f>SUM(G186:G200)</f>
        <v>295294</v>
      </c>
      <c r="H201" s="764">
        <f>SUM(H186:H200)</f>
        <v>319438</v>
      </c>
      <c r="I201" s="15" t="e">
        <f>SUM(I186:I200)</f>
        <v>#REF!</v>
      </c>
    </row>
    <row r="202" spans="1:18" ht="8.1" customHeight="1" x14ac:dyDescent="0.2">
      <c r="A202" s="71"/>
      <c r="B202" s="730"/>
      <c r="C202" s="805"/>
      <c r="E202" s="593"/>
      <c r="F202" s="616"/>
      <c r="G202" s="743"/>
      <c r="H202" s="763"/>
      <c r="I202" s="13"/>
    </row>
    <row r="203" spans="1:18" x14ac:dyDescent="0.2">
      <c r="A203" s="71"/>
      <c r="B203" s="783">
        <v>1110124306</v>
      </c>
      <c r="C203" s="828" t="s">
        <v>1152</v>
      </c>
      <c r="D203" s="9" t="s">
        <v>674</v>
      </c>
      <c r="E203" s="593">
        <v>9900</v>
      </c>
      <c r="F203" s="616">
        <v>15400</v>
      </c>
      <c r="G203" s="743">
        <v>50100</v>
      </c>
      <c r="H203" s="763">
        <v>50250</v>
      </c>
      <c r="I203" s="13"/>
    </row>
    <row r="204" spans="1:18" x14ac:dyDescent="0.2">
      <c r="A204" s="71"/>
      <c r="B204" s="783" t="s">
        <v>1108</v>
      </c>
      <c r="C204" s="828" t="s">
        <v>1109</v>
      </c>
      <c r="D204" s="9" t="s">
        <v>307</v>
      </c>
      <c r="E204" s="593">
        <v>49112</v>
      </c>
      <c r="F204" s="616">
        <v>49315</v>
      </c>
      <c r="G204" s="743">
        <v>27299</v>
      </c>
      <c r="H204" s="763">
        <v>25594</v>
      </c>
      <c r="I204" s="13" t="e">
        <f>+#REF!-#REF!</f>
        <v>#REF!</v>
      </c>
    </row>
    <row r="205" spans="1:18" x14ac:dyDescent="0.2">
      <c r="A205" s="71"/>
      <c r="B205" s="783">
        <v>1110124306</v>
      </c>
      <c r="C205" s="828" t="s">
        <v>942</v>
      </c>
      <c r="D205" s="9" t="s">
        <v>555</v>
      </c>
      <c r="E205" s="593">
        <v>0</v>
      </c>
      <c r="F205" s="616">
        <v>500</v>
      </c>
      <c r="G205" s="743">
        <v>500</v>
      </c>
      <c r="H205" s="763">
        <v>0</v>
      </c>
      <c r="I205" s="13" t="e">
        <f>+#REF!-#REF!</f>
        <v>#REF!</v>
      </c>
    </row>
    <row r="206" spans="1:18" x14ac:dyDescent="0.2">
      <c r="A206" s="71"/>
      <c r="B206" s="783" t="s">
        <v>1108</v>
      </c>
      <c r="C206" s="828" t="s">
        <v>1110</v>
      </c>
      <c r="D206" s="9" t="s">
        <v>308</v>
      </c>
      <c r="E206" s="593">
        <v>12432</v>
      </c>
      <c r="F206" s="616">
        <v>10360</v>
      </c>
      <c r="G206" s="743">
        <v>25900</v>
      </c>
      <c r="H206" s="763">
        <v>25900</v>
      </c>
      <c r="I206" s="13" t="e">
        <f>+#REF!-#REF!</f>
        <v>#REF!</v>
      </c>
    </row>
    <row r="207" spans="1:18" x14ac:dyDescent="0.2">
      <c r="A207" s="71"/>
      <c r="B207" s="783" t="s">
        <v>1108</v>
      </c>
      <c r="C207" s="828" t="s">
        <v>1111</v>
      </c>
      <c r="D207" s="9" t="s">
        <v>425</v>
      </c>
      <c r="E207" s="593">
        <v>1400</v>
      </c>
      <c r="F207" s="616">
        <v>1500</v>
      </c>
      <c r="G207" s="743">
        <v>1000</v>
      </c>
      <c r="H207" s="763">
        <v>1000</v>
      </c>
      <c r="I207" s="13" t="e">
        <f>+#REF!-#REF!</f>
        <v>#REF!</v>
      </c>
    </row>
    <row r="208" spans="1:18" x14ac:dyDescent="0.2">
      <c r="A208" s="71"/>
      <c r="B208" s="783" t="s">
        <v>1108</v>
      </c>
      <c r="C208" s="828" t="s">
        <v>1112</v>
      </c>
      <c r="D208" s="9" t="s">
        <v>309</v>
      </c>
      <c r="E208" s="593">
        <v>1500</v>
      </c>
      <c r="F208" s="616">
        <v>900</v>
      </c>
      <c r="G208" s="743">
        <v>1500</v>
      </c>
      <c r="H208" s="763">
        <v>2500</v>
      </c>
      <c r="I208" s="13" t="e">
        <f>+#REF!-#REF!</f>
        <v>#REF!</v>
      </c>
    </row>
    <row r="209" spans="1:11" x14ac:dyDescent="0.2">
      <c r="A209" s="71"/>
      <c r="B209" s="783">
        <v>1110124306</v>
      </c>
      <c r="C209" s="828">
        <v>2130.105</v>
      </c>
      <c r="D209" s="9" t="s">
        <v>265</v>
      </c>
      <c r="E209" s="593">
        <v>30816</v>
      </c>
      <c r="F209" s="616">
        <v>34120</v>
      </c>
      <c r="G209" s="743">
        <v>18246</v>
      </c>
      <c r="H209" s="763">
        <v>17864</v>
      </c>
      <c r="I209" s="13" t="e">
        <f>+#REF!-#REF!</f>
        <v>#REF!</v>
      </c>
    </row>
    <row r="210" spans="1:11" x14ac:dyDescent="0.2">
      <c r="A210" s="71"/>
      <c r="B210" s="783">
        <v>1110124306</v>
      </c>
      <c r="C210" s="828" t="s">
        <v>948</v>
      </c>
      <c r="D210" s="9" t="s">
        <v>440</v>
      </c>
      <c r="E210" s="593">
        <v>43077</v>
      </c>
      <c r="F210" s="616">
        <v>16956</v>
      </c>
      <c r="G210" s="743">
        <v>16956</v>
      </c>
      <c r="H210" s="763">
        <v>16956</v>
      </c>
      <c r="I210" s="13" t="e">
        <f>+#REF!-#REF!</f>
        <v>#REF!</v>
      </c>
      <c r="K210" s="102"/>
    </row>
    <row r="211" spans="1:11" x14ac:dyDescent="0.2">
      <c r="A211" s="71"/>
      <c r="B211" s="783">
        <v>1110124306</v>
      </c>
      <c r="C211" s="828">
        <v>2820</v>
      </c>
      <c r="D211" s="9" t="s">
        <v>264</v>
      </c>
      <c r="E211" s="593">
        <v>23047</v>
      </c>
      <c r="F211" s="616">
        <v>23393</v>
      </c>
      <c r="G211" s="743">
        <v>32953</v>
      </c>
      <c r="H211" s="763">
        <v>17049</v>
      </c>
      <c r="I211" s="13" t="e">
        <f>+#REF!-#REF!</f>
        <v>#REF!</v>
      </c>
      <c r="K211" s="102"/>
    </row>
    <row r="212" spans="1:11" x14ac:dyDescent="0.2">
      <c r="A212" s="71"/>
      <c r="B212" s="783">
        <v>1110124306</v>
      </c>
      <c r="C212" s="828">
        <v>2830</v>
      </c>
      <c r="D212" s="9" t="s">
        <v>266</v>
      </c>
      <c r="E212" s="593">
        <v>5688</v>
      </c>
      <c r="F212" s="616">
        <v>5966</v>
      </c>
      <c r="G212" s="743">
        <v>8132</v>
      </c>
      <c r="H212" s="763">
        <v>8052</v>
      </c>
      <c r="I212" s="13" t="e">
        <f>+#REF!-#REF!</f>
        <v>#REF!</v>
      </c>
    </row>
    <row r="213" spans="1:11" x14ac:dyDescent="0.2">
      <c r="A213" s="71"/>
      <c r="B213" s="783" t="s">
        <v>943</v>
      </c>
      <c r="C213" s="828" t="s">
        <v>947</v>
      </c>
      <c r="D213" s="9" t="s">
        <v>267</v>
      </c>
      <c r="E213" s="593">
        <v>500</v>
      </c>
      <c r="F213" s="616">
        <v>0</v>
      </c>
      <c r="G213" s="743">
        <v>1000</v>
      </c>
      <c r="H213" s="763">
        <v>1000</v>
      </c>
      <c r="I213" s="13" t="e">
        <f>+#REF!-#REF!</f>
        <v>#REF!</v>
      </c>
    </row>
    <row r="214" spans="1:11" x14ac:dyDescent="0.2">
      <c r="A214" s="71"/>
      <c r="B214" s="783" t="s">
        <v>943</v>
      </c>
      <c r="C214" s="828" t="s">
        <v>946</v>
      </c>
      <c r="D214" s="9" t="s">
        <v>399</v>
      </c>
      <c r="E214" s="593">
        <v>28271</v>
      </c>
      <c r="F214" s="616">
        <v>0</v>
      </c>
      <c r="G214" s="743">
        <v>5000</v>
      </c>
      <c r="H214" s="763">
        <v>7000</v>
      </c>
      <c r="I214" s="13" t="e">
        <f>+#REF!-#REF!</f>
        <v>#REF!</v>
      </c>
      <c r="K214" s="102"/>
    </row>
    <row r="215" spans="1:11" x14ac:dyDescent="0.2">
      <c r="A215" s="71"/>
      <c r="B215" s="783" t="s">
        <v>943</v>
      </c>
      <c r="C215" s="828" t="s">
        <v>945</v>
      </c>
      <c r="D215" s="9" t="s">
        <v>430</v>
      </c>
      <c r="E215" s="593">
        <v>0</v>
      </c>
      <c r="F215" s="616">
        <v>0</v>
      </c>
      <c r="G215" s="743">
        <v>1500</v>
      </c>
      <c r="H215" s="763">
        <v>1500</v>
      </c>
      <c r="I215" s="13" t="e">
        <f>+#REF!-#REF!</f>
        <v>#REF!</v>
      </c>
    </row>
    <row r="216" spans="1:11" x14ac:dyDescent="0.2">
      <c r="A216" s="71"/>
      <c r="B216" s="783" t="s">
        <v>943</v>
      </c>
      <c r="C216" s="828" t="s">
        <v>944</v>
      </c>
      <c r="D216" s="9" t="s">
        <v>491</v>
      </c>
      <c r="E216" s="593">
        <v>26320</v>
      </c>
      <c r="F216" s="616">
        <v>590</v>
      </c>
      <c r="G216" s="743">
        <v>53187</v>
      </c>
      <c r="H216" s="763">
        <v>68608</v>
      </c>
      <c r="I216" s="13" t="e">
        <f>+#REF!-#REF!</f>
        <v>#REF!</v>
      </c>
    </row>
    <row r="217" spans="1:11" x14ac:dyDescent="0.2">
      <c r="B217" s="797" t="s">
        <v>476</v>
      </c>
      <c r="C217" s="779"/>
      <c r="D217" s="252"/>
      <c r="E217" s="594">
        <f>SUM(E202:E216)</f>
        <v>232063</v>
      </c>
      <c r="F217" s="617">
        <f>SUM(F203:F216)</f>
        <v>159000</v>
      </c>
      <c r="G217" s="744">
        <f>SUM(G203:G216)</f>
        <v>243273</v>
      </c>
      <c r="H217" s="764">
        <f>SUM(H203:H216)</f>
        <v>243273</v>
      </c>
      <c r="I217" s="15" t="e">
        <f>SUM(I204:I216)</f>
        <v>#REF!</v>
      </c>
      <c r="J217" s="102"/>
      <c r="K217" s="9"/>
    </row>
    <row r="218" spans="1:11" ht="7.7" customHeight="1" x14ac:dyDescent="0.2">
      <c r="A218" s="76"/>
      <c r="B218" s="798"/>
      <c r="C218" s="780"/>
      <c r="D218" s="5"/>
      <c r="E218" s="593"/>
      <c r="F218" s="616"/>
      <c r="G218" s="743"/>
      <c r="H218" s="763"/>
      <c r="I218" s="13"/>
      <c r="J218" s="102"/>
      <c r="K218" s="9"/>
    </row>
    <row r="219" spans="1:11" x14ac:dyDescent="0.2">
      <c r="A219" s="82"/>
      <c r="B219" s="783" t="s">
        <v>1148</v>
      </c>
      <c r="C219" s="828" t="s">
        <v>1149</v>
      </c>
      <c r="D219" s="9" t="s">
        <v>689</v>
      </c>
      <c r="E219" s="593">
        <v>94344</v>
      </c>
      <c r="F219" s="616">
        <v>0</v>
      </c>
      <c r="G219" s="743">
        <v>0</v>
      </c>
      <c r="H219" s="763">
        <v>0</v>
      </c>
      <c r="I219" s="13"/>
      <c r="J219" s="102"/>
      <c r="K219" s="9"/>
    </row>
    <row r="220" spans="1:11" x14ac:dyDescent="0.2">
      <c r="A220" s="82"/>
      <c r="B220" s="783" t="s">
        <v>1148</v>
      </c>
      <c r="C220" s="828" t="s">
        <v>904</v>
      </c>
      <c r="D220" s="9" t="s">
        <v>155</v>
      </c>
      <c r="E220" s="593">
        <v>7217</v>
      </c>
      <c r="F220" s="616">
        <v>0</v>
      </c>
      <c r="G220" s="743">
        <v>0</v>
      </c>
      <c r="H220" s="763">
        <v>0</v>
      </c>
      <c r="I220" s="13"/>
      <c r="J220" s="102"/>
      <c r="K220" s="9"/>
    </row>
    <row r="221" spans="1:11" x14ac:dyDescent="0.2">
      <c r="A221" s="82"/>
      <c r="B221" s="783" t="s">
        <v>1148</v>
      </c>
      <c r="C221" s="828" t="s">
        <v>903</v>
      </c>
      <c r="D221" s="9" t="s">
        <v>280</v>
      </c>
      <c r="E221" s="593">
        <v>28312</v>
      </c>
      <c r="F221" s="616">
        <v>0</v>
      </c>
      <c r="G221" s="743">
        <v>0</v>
      </c>
      <c r="H221" s="763">
        <v>0</v>
      </c>
      <c r="I221" s="13"/>
      <c r="J221" s="102"/>
      <c r="K221" s="9"/>
    </row>
    <row r="222" spans="1:11" x14ac:dyDescent="0.2">
      <c r="A222" s="82"/>
      <c r="B222" s="783" t="s">
        <v>1148</v>
      </c>
      <c r="C222" s="828" t="s">
        <v>1150</v>
      </c>
      <c r="D222" s="9" t="s">
        <v>279</v>
      </c>
      <c r="E222" s="593">
        <v>24768</v>
      </c>
      <c r="F222" s="616">
        <v>0</v>
      </c>
      <c r="G222" s="743">
        <v>0</v>
      </c>
      <c r="H222" s="763">
        <v>0</v>
      </c>
      <c r="I222" s="13"/>
      <c r="J222" s="102"/>
      <c r="K222" s="9"/>
    </row>
    <row r="223" spans="1:11" s="579" customFormat="1" x14ac:dyDescent="0.2">
      <c r="A223" s="71"/>
      <c r="B223" s="782"/>
      <c r="C223" s="599"/>
      <c r="D223" s="519" t="s">
        <v>1269</v>
      </c>
      <c r="E223" s="593">
        <v>8500</v>
      </c>
      <c r="F223" s="616">
        <v>0</v>
      </c>
      <c r="G223" s="743">
        <v>0</v>
      </c>
      <c r="H223" s="763">
        <v>0</v>
      </c>
      <c r="I223" s="13"/>
    </row>
    <row r="224" spans="1:11" hidden="1" x14ac:dyDescent="0.2">
      <c r="A224" s="71"/>
      <c r="B224" s="807"/>
      <c r="C224" s="808"/>
      <c r="D224" s="9" t="s">
        <v>751</v>
      </c>
      <c r="E224" s="593">
        <v>0</v>
      </c>
      <c r="F224" s="616">
        <v>0</v>
      </c>
      <c r="G224" s="743">
        <v>0</v>
      </c>
      <c r="H224" s="763">
        <v>0</v>
      </c>
      <c r="I224" s="13"/>
    </row>
    <row r="225" spans="1:13" s="579" customFormat="1" x14ac:dyDescent="0.2">
      <c r="A225" s="71"/>
      <c r="B225" s="809"/>
      <c r="C225" s="810"/>
      <c r="D225" s="519" t="s">
        <v>1270</v>
      </c>
      <c r="E225" s="593">
        <v>10000</v>
      </c>
      <c r="F225" s="616">
        <v>0</v>
      </c>
      <c r="G225" s="743">
        <v>0</v>
      </c>
      <c r="H225" s="763">
        <v>0</v>
      </c>
      <c r="I225" s="13"/>
    </row>
    <row r="226" spans="1:13" x14ac:dyDescent="0.2">
      <c r="A226" s="82"/>
      <c r="B226" s="783" t="s">
        <v>1148</v>
      </c>
      <c r="C226" s="828" t="s">
        <v>1151</v>
      </c>
      <c r="D226" s="519" t="s">
        <v>1268</v>
      </c>
      <c r="E226" s="593">
        <v>41199</v>
      </c>
      <c r="F226" s="616">
        <v>0</v>
      </c>
      <c r="G226" s="743">
        <v>0</v>
      </c>
      <c r="H226" s="763">
        <v>0</v>
      </c>
      <c r="I226" s="13"/>
      <c r="J226" s="102"/>
      <c r="K226" s="9"/>
    </row>
    <row r="227" spans="1:13" x14ac:dyDescent="0.2">
      <c r="B227" s="799" t="s">
        <v>739</v>
      </c>
      <c r="C227" s="803"/>
      <c r="D227" s="793"/>
      <c r="E227" s="594">
        <f>SUM(E219:E226)</f>
        <v>214340</v>
      </c>
      <c r="F227" s="617">
        <f>SUM(F218:F226)</f>
        <v>0</v>
      </c>
      <c r="G227" s="744">
        <f>SUM(G218:G226)</f>
        <v>0</v>
      </c>
      <c r="H227" s="764">
        <f>SUM(H218:H226)</f>
        <v>0</v>
      </c>
      <c r="I227" s="13"/>
    </row>
    <row r="228" spans="1:13" ht="7.35" customHeight="1" x14ac:dyDescent="0.2">
      <c r="A228" s="82"/>
      <c r="B228" s="730"/>
      <c r="C228" s="805"/>
      <c r="D228" s="9"/>
      <c r="E228" s="595"/>
      <c r="F228" s="618"/>
      <c r="G228" s="745"/>
      <c r="H228" s="765"/>
      <c r="I228" s="13"/>
    </row>
    <row r="229" spans="1:13" x14ac:dyDescent="0.2">
      <c r="A229" s="71"/>
      <c r="B229" s="783" t="s">
        <v>1171</v>
      </c>
      <c r="C229" s="828" t="s">
        <v>1172</v>
      </c>
      <c r="D229" s="468" t="s">
        <v>301</v>
      </c>
      <c r="E229" s="593">
        <v>37212</v>
      </c>
      <c r="F229" s="616">
        <v>37031</v>
      </c>
      <c r="G229" s="743">
        <v>37031</v>
      </c>
      <c r="H229" s="763">
        <v>37031</v>
      </c>
      <c r="I229" s="13" t="e">
        <f>+#REF!-#REF!</f>
        <v>#REF!</v>
      </c>
      <c r="L229" s="102" t="e">
        <f>+#REF!-32875</f>
        <v>#REF!</v>
      </c>
    </row>
    <row r="230" spans="1:13" x14ac:dyDescent="0.2">
      <c r="A230" s="71"/>
      <c r="B230" s="783" t="s">
        <v>1171</v>
      </c>
      <c r="C230" s="828" t="s">
        <v>1173</v>
      </c>
      <c r="D230" s="468" t="s">
        <v>302</v>
      </c>
      <c r="E230" s="593">
        <v>16682</v>
      </c>
      <c r="F230" s="616">
        <v>25660</v>
      </c>
      <c r="G230" s="743">
        <v>25610</v>
      </c>
      <c r="H230" s="763">
        <v>25610</v>
      </c>
      <c r="I230" s="13" t="e">
        <f>+#REF!-#REF!</f>
        <v>#REF!</v>
      </c>
      <c r="L230">
        <f>23551-23492</f>
        <v>59</v>
      </c>
      <c r="M230" s="102"/>
    </row>
    <row r="231" spans="1:13" hidden="1" x14ac:dyDescent="0.2">
      <c r="A231" s="71"/>
      <c r="B231" s="807"/>
      <c r="C231" s="808"/>
      <c r="D231" s="468" t="s">
        <v>657</v>
      </c>
      <c r="E231" s="593">
        <v>0</v>
      </c>
      <c r="F231" s="616">
        <v>0</v>
      </c>
      <c r="G231" s="743">
        <v>0</v>
      </c>
      <c r="H231" s="763">
        <v>0</v>
      </c>
      <c r="I231" s="13"/>
      <c r="M231" s="102"/>
    </row>
    <row r="232" spans="1:13" hidden="1" x14ac:dyDescent="0.2">
      <c r="A232" s="71"/>
      <c r="B232" s="807"/>
      <c r="C232" s="808"/>
      <c r="D232" s="468" t="s">
        <v>703</v>
      </c>
      <c r="E232" s="593">
        <v>0</v>
      </c>
      <c r="F232" s="616">
        <v>0</v>
      </c>
      <c r="G232" s="743">
        <v>0</v>
      </c>
      <c r="H232" s="763">
        <v>0</v>
      </c>
      <c r="I232" s="13" t="e">
        <f>+#REF!-#REF!</f>
        <v>#REF!</v>
      </c>
      <c r="L232">
        <f>23551-23492</f>
        <v>59</v>
      </c>
      <c r="M232" s="102"/>
    </row>
    <row r="233" spans="1:13" hidden="1" x14ac:dyDescent="0.2">
      <c r="A233" s="71"/>
      <c r="B233" s="807"/>
      <c r="C233" s="808"/>
      <c r="D233" s="468" t="s">
        <v>630</v>
      </c>
      <c r="E233" s="593">
        <v>0</v>
      </c>
      <c r="F233" s="616">
        <v>0</v>
      </c>
      <c r="G233" s="743">
        <v>0</v>
      </c>
      <c r="H233" s="763">
        <v>0</v>
      </c>
      <c r="I233" s="13" t="e">
        <f>+#REF!-#REF!</f>
        <v>#REF!</v>
      </c>
      <c r="L233">
        <f>23551-23492</f>
        <v>59</v>
      </c>
      <c r="M233" s="102"/>
    </row>
    <row r="234" spans="1:13" x14ac:dyDescent="0.2">
      <c r="A234" s="71"/>
      <c r="B234" s="783" t="s">
        <v>1171</v>
      </c>
      <c r="C234" s="828" t="s">
        <v>1174</v>
      </c>
      <c r="D234" s="468" t="s">
        <v>490</v>
      </c>
      <c r="E234" s="593">
        <v>2300</v>
      </c>
      <c r="F234" s="616">
        <v>1650</v>
      </c>
      <c r="G234" s="743">
        <v>1650</v>
      </c>
      <c r="H234" s="763">
        <v>1650</v>
      </c>
      <c r="I234" s="13" t="e">
        <f>+#REF!-#REF!</f>
        <v>#REF!</v>
      </c>
    </row>
    <row r="235" spans="1:13" x14ac:dyDescent="0.2">
      <c r="A235" s="71"/>
      <c r="B235" s="783" t="s">
        <v>1171</v>
      </c>
      <c r="C235" s="828" t="s">
        <v>1175</v>
      </c>
      <c r="D235" s="468" t="s">
        <v>303</v>
      </c>
      <c r="E235" s="593">
        <v>996</v>
      </c>
      <c r="F235" s="616">
        <v>1000</v>
      </c>
      <c r="G235" s="743">
        <v>1000</v>
      </c>
      <c r="H235" s="763">
        <v>1000</v>
      </c>
      <c r="I235" s="13" t="e">
        <f>+#REF!-#REF!</f>
        <v>#REF!</v>
      </c>
    </row>
    <row r="236" spans="1:13" x14ac:dyDescent="0.2">
      <c r="A236" s="71"/>
      <c r="B236" s="783" t="s">
        <v>1171</v>
      </c>
      <c r="C236" s="828" t="s">
        <v>1176</v>
      </c>
      <c r="D236" s="468" t="s">
        <v>304</v>
      </c>
      <c r="E236" s="593">
        <v>6554</v>
      </c>
      <c r="F236" s="616">
        <v>2780</v>
      </c>
      <c r="G236" s="743">
        <v>2528</v>
      </c>
      <c r="H236" s="763">
        <v>2528</v>
      </c>
      <c r="I236" s="13" t="e">
        <f>+#REF!-#REF!</f>
        <v>#REF!</v>
      </c>
    </row>
    <row r="237" spans="1:13" x14ac:dyDescent="0.2">
      <c r="A237" s="71"/>
      <c r="B237" s="783" t="s">
        <v>1171</v>
      </c>
      <c r="C237" s="828">
        <v>2800</v>
      </c>
      <c r="D237" s="468" t="s">
        <v>305</v>
      </c>
      <c r="E237" s="593">
        <v>17730</v>
      </c>
      <c r="F237" s="616">
        <v>19603</v>
      </c>
      <c r="G237" s="743">
        <v>19910</v>
      </c>
      <c r="H237" s="763">
        <v>19910</v>
      </c>
      <c r="I237" s="13" t="e">
        <f>+#REF!-#REF!</f>
        <v>#REF!</v>
      </c>
      <c r="L237" s="102" t="e">
        <f>+#REF!+#REF!+#REF!</f>
        <v>#REF!</v>
      </c>
    </row>
    <row r="238" spans="1:13" x14ac:dyDescent="0.2">
      <c r="A238" s="71"/>
      <c r="B238" s="783" t="s">
        <v>1171</v>
      </c>
      <c r="C238" s="828" t="s">
        <v>904</v>
      </c>
      <c r="D238" s="468" t="s">
        <v>306</v>
      </c>
      <c r="E238" s="593">
        <v>4374</v>
      </c>
      <c r="F238" s="616">
        <v>5000</v>
      </c>
      <c r="G238" s="743">
        <v>4995</v>
      </c>
      <c r="H238" s="763">
        <v>4995</v>
      </c>
      <c r="I238" s="13" t="e">
        <f>+#REF!-#REF!</f>
        <v>#REF!</v>
      </c>
      <c r="L238" s="102">
        <f>50908</f>
        <v>50908</v>
      </c>
    </row>
    <row r="239" spans="1:13" x14ac:dyDescent="0.2">
      <c r="A239" s="71"/>
      <c r="B239" s="782">
        <v>1110125601</v>
      </c>
      <c r="C239" s="599">
        <v>2920</v>
      </c>
      <c r="D239" s="600" t="s">
        <v>1277</v>
      </c>
      <c r="E239" s="593">
        <v>2220</v>
      </c>
      <c r="F239" s="616">
        <v>2220</v>
      </c>
      <c r="G239" s="743">
        <v>2220</v>
      </c>
      <c r="H239" s="763">
        <v>2220</v>
      </c>
      <c r="I239" s="13"/>
      <c r="L239" s="102"/>
    </row>
    <row r="240" spans="1:13" ht="14.1" customHeight="1" x14ac:dyDescent="0.2">
      <c r="A240" s="71"/>
      <c r="B240" s="783" t="s">
        <v>1171</v>
      </c>
      <c r="C240" s="828" t="s">
        <v>1177</v>
      </c>
      <c r="D240" s="468" t="s">
        <v>693</v>
      </c>
      <c r="E240" s="593">
        <v>648</v>
      </c>
      <c r="F240" s="616">
        <v>648</v>
      </c>
      <c r="G240" s="743">
        <v>648</v>
      </c>
      <c r="H240" s="763">
        <v>648</v>
      </c>
      <c r="I240" s="13" t="e">
        <f>+#REF!-#REF!</f>
        <v>#REF!</v>
      </c>
      <c r="K240" s="102"/>
      <c r="L240" s="102" t="e">
        <f>+L238-L237</f>
        <v>#REF!</v>
      </c>
      <c r="M240" s="102"/>
    </row>
    <row r="241" spans="1:12" x14ac:dyDescent="0.2">
      <c r="A241" s="71"/>
      <c r="B241" s="783" t="s">
        <v>1171</v>
      </c>
      <c r="C241" s="828">
        <v>3190.1060000000002</v>
      </c>
      <c r="D241" s="468" t="s">
        <v>741</v>
      </c>
      <c r="E241" s="593">
        <v>765</v>
      </c>
      <c r="F241" s="616">
        <v>765</v>
      </c>
      <c r="G241" s="743">
        <v>765</v>
      </c>
      <c r="H241" s="763">
        <v>765</v>
      </c>
      <c r="I241" s="13" t="e">
        <f>+#REF!-#REF!</f>
        <v>#REF!</v>
      </c>
      <c r="K241" s="102"/>
    </row>
    <row r="242" spans="1:12" s="580" customFormat="1" x14ac:dyDescent="0.2">
      <c r="A242" s="71"/>
      <c r="B242" s="783" t="s">
        <v>1171</v>
      </c>
      <c r="C242" s="828">
        <v>3190.127</v>
      </c>
      <c r="D242" s="600" t="s">
        <v>1296</v>
      </c>
      <c r="E242" s="593">
        <v>1125</v>
      </c>
      <c r="F242" s="616">
        <v>0</v>
      </c>
      <c r="G242" s="743">
        <v>0</v>
      </c>
      <c r="H242" s="763">
        <v>0</v>
      </c>
      <c r="I242" s="13"/>
      <c r="L242" s="102"/>
    </row>
    <row r="243" spans="1:12" s="580" customFormat="1" x14ac:dyDescent="0.2">
      <c r="A243" s="71"/>
      <c r="B243" s="783">
        <v>1110125601</v>
      </c>
      <c r="C243" s="828">
        <v>3190.1280000000002</v>
      </c>
      <c r="D243" s="600" t="s">
        <v>1279</v>
      </c>
      <c r="E243" s="593">
        <v>2175</v>
      </c>
      <c r="F243" s="616">
        <v>0</v>
      </c>
      <c r="G243" s="743">
        <v>0</v>
      </c>
      <c r="H243" s="763">
        <v>0</v>
      </c>
      <c r="I243" s="13"/>
      <c r="L243" s="102"/>
    </row>
    <row r="244" spans="1:12" s="580" customFormat="1" x14ac:dyDescent="0.2">
      <c r="A244" s="71"/>
      <c r="B244" s="783">
        <v>1110125601</v>
      </c>
      <c r="C244" s="828">
        <v>3190.1289999999999</v>
      </c>
      <c r="D244" s="600" t="s">
        <v>1285</v>
      </c>
      <c r="E244" s="593">
        <v>234</v>
      </c>
      <c r="F244" s="616">
        <v>234</v>
      </c>
      <c r="G244" s="743">
        <v>234</v>
      </c>
      <c r="H244" s="763">
        <v>234</v>
      </c>
      <c r="I244" s="13"/>
      <c r="L244" s="102"/>
    </row>
    <row r="245" spans="1:12" s="580" customFormat="1" x14ac:dyDescent="0.2">
      <c r="A245" s="71"/>
      <c r="B245" s="783" t="s">
        <v>1171</v>
      </c>
      <c r="C245" s="828">
        <v>3190.13</v>
      </c>
      <c r="D245" s="600" t="s">
        <v>1287</v>
      </c>
      <c r="E245" s="593">
        <v>800</v>
      </c>
      <c r="F245" s="616">
        <v>800</v>
      </c>
      <c r="G245" s="743">
        <v>800</v>
      </c>
      <c r="H245" s="763">
        <v>800</v>
      </c>
      <c r="I245" s="13"/>
      <c r="L245" s="102"/>
    </row>
    <row r="246" spans="1:12" s="580" customFormat="1" x14ac:dyDescent="0.2">
      <c r="A246" s="71"/>
      <c r="B246" s="783" t="s">
        <v>1171</v>
      </c>
      <c r="C246" s="828">
        <v>5110.1090000000004</v>
      </c>
      <c r="D246" s="600" t="s">
        <v>1280</v>
      </c>
      <c r="E246" s="593">
        <v>5064</v>
      </c>
      <c r="F246" s="616">
        <v>720</v>
      </c>
      <c r="G246" s="743">
        <v>720</v>
      </c>
      <c r="H246" s="763">
        <v>720</v>
      </c>
      <c r="I246" s="13"/>
      <c r="L246" s="102"/>
    </row>
    <row r="247" spans="1:12" s="580" customFormat="1" x14ac:dyDescent="0.2">
      <c r="A247" s="71"/>
      <c r="B247" s="783" t="s">
        <v>1171</v>
      </c>
      <c r="C247" s="828">
        <v>5110.1319999999996</v>
      </c>
      <c r="D247" s="600" t="s">
        <v>1284</v>
      </c>
      <c r="E247" s="593">
        <v>300</v>
      </c>
      <c r="F247" s="616">
        <v>0</v>
      </c>
      <c r="G247" s="743">
        <v>0</v>
      </c>
      <c r="H247" s="763">
        <v>0</v>
      </c>
      <c r="I247" s="13"/>
      <c r="L247" s="102"/>
    </row>
    <row r="248" spans="1:12" s="580" customFormat="1" x14ac:dyDescent="0.2">
      <c r="A248" s="71"/>
      <c r="B248" s="783">
        <v>1110125601</v>
      </c>
      <c r="C248" s="828">
        <v>5110.1440000000002</v>
      </c>
      <c r="D248" s="600" t="s">
        <v>1282</v>
      </c>
      <c r="E248" s="593">
        <v>494</v>
      </c>
      <c r="F248" s="616">
        <v>0</v>
      </c>
      <c r="G248" s="743">
        <v>0</v>
      </c>
      <c r="H248" s="763">
        <v>0</v>
      </c>
      <c r="I248" s="13"/>
      <c r="L248" s="102"/>
    </row>
    <row r="249" spans="1:12" s="580" customFormat="1" x14ac:dyDescent="0.2">
      <c r="A249" s="71"/>
      <c r="B249" s="783" t="s">
        <v>1171</v>
      </c>
      <c r="C249" s="828">
        <v>5110.1139999999996</v>
      </c>
      <c r="D249" s="600" t="s">
        <v>1289</v>
      </c>
      <c r="E249" s="593">
        <v>288</v>
      </c>
      <c r="F249" s="616">
        <v>0</v>
      </c>
      <c r="G249" s="743">
        <v>0</v>
      </c>
      <c r="H249" s="763">
        <v>0</v>
      </c>
      <c r="I249" s="13"/>
      <c r="L249" s="102"/>
    </row>
    <row r="250" spans="1:12" s="580" customFormat="1" x14ac:dyDescent="0.2">
      <c r="A250" s="71"/>
      <c r="B250" s="783" t="s">
        <v>1171</v>
      </c>
      <c r="C250" s="828">
        <v>5110.1149999999998</v>
      </c>
      <c r="D250" s="600" t="s">
        <v>1290</v>
      </c>
      <c r="E250" s="593">
        <v>223</v>
      </c>
      <c r="F250" s="616">
        <v>0</v>
      </c>
      <c r="G250" s="743">
        <v>0</v>
      </c>
      <c r="H250" s="763">
        <v>0</v>
      </c>
      <c r="I250" s="13"/>
      <c r="L250" s="102"/>
    </row>
    <row r="251" spans="1:12" x14ac:dyDescent="0.2">
      <c r="A251" s="71"/>
      <c r="B251" s="783" t="s">
        <v>1171</v>
      </c>
      <c r="C251" s="828" t="s">
        <v>1178</v>
      </c>
      <c r="D251" s="600" t="s">
        <v>1278</v>
      </c>
      <c r="E251" s="593">
        <v>6613</v>
      </c>
      <c r="F251" s="616">
        <v>0</v>
      </c>
      <c r="G251" s="743">
        <v>0</v>
      </c>
      <c r="H251" s="763">
        <v>0</v>
      </c>
      <c r="I251" s="13" t="e">
        <f>+#REF!-#REF!</f>
        <v>#REF!</v>
      </c>
      <c r="K251" s="102"/>
    </row>
    <row r="252" spans="1:12" x14ac:dyDescent="0.2">
      <c r="A252" s="71"/>
      <c r="B252" s="783" t="s">
        <v>1171</v>
      </c>
      <c r="C252" s="828" t="s">
        <v>1179</v>
      </c>
      <c r="D252" s="468" t="s">
        <v>704</v>
      </c>
      <c r="E252" s="593">
        <v>1000</v>
      </c>
      <c r="F252" s="616">
        <v>500</v>
      </c>
      <c r="G252" s="743">
        <v>500</v>
      </c>
      <c r="H252" s="763">
        <v>500</v>
      </c>
      <c r="I252" s="13" t="e">
        <f>+#REF!-#REF!</f>
        <v>#REF!</v>
      </c>
      <c r="K252" s="102"/>
    </row>
    <row r="253" spans="1:12" s="580" customFormat="1" x14ac:dyDescent="0.2">
      <c r="A253" s="71"/>
      <c r="B253" s="783" t="s">
        <v>1171</v>
      </c>
      <c r="C253" s="828">
        <v>5110.1310000000003</v>
      </c>
      <c r="D253" s="600" t="s">
        <v>1286</v>
      </c>
      <c r="E253" s="593">
        <v>117</v>
      </c>
      <c r="F253" s="616">
        <v>117</v>
      </c>
      <c r="G253" s="743">
        <v>117</v>
      </c>
      <c r="H253" s="763">
        <v>117</v>
      </c>
      <c r="I253" s="13"/>
      <c r="L253" s="102"/>
    </row>
    <row r="254" spans="1:12" s="580" customFormat="1" x14ac:dyDescent="0.2">
      <c r="A254" s="71"/>
      <c r="B254" s="783" t="s">
        <v>1171</v>
      </c>
      <c r="C254" s="828">
        <v>5110.134</v>
      </c>
      <c r="D254" s="600" t="s">
        <v>1295</v>
      </c>
      <c r="E254" s="593">
        <v>1000</v>
      </c>
      <c r="F254" s="616">
        <v>0</v>
      </c>
      <c r="G254" s="743">
        <v>0</v>
      </c>
      <c r="H254" s="763">
        <v>0</v>
      </c>
      <c r="I254" s="13"/>
      <c r="L254" s="102"/>
    </row>
    <row r="255" spans="1:12" s="580" customFormat="1" x14ac:dyDescent="0.2">
      <c r="A255" s="71"/>
      <c r="B255" s="783" t="s">
        <v>1171</v>
      </c>
      <c r="C255" s="828">
        <v>5110.1350000000002</v>
      </c>
      <c r="D255" s="600" t="s">
        <v>1292</v>
      </c>
      <c r="E255" s="593">
        <v>1000</v>
      </c>
      <c r="F255" s="616">
        <v>0</v>
      </c>
      <c r="G255" s="743">
        <v>0</v>
      </c>
      <c r="H255" s="763">
        <v>0</v>
      </c>
      <c r="I255" s="13"/>
      <c r="L255" s="102"/>
    </row>
    <row r="256" spans="1:12" x14ac:dyDescent="0.2">
      <c r="A256" s="71"/>
      <c r="B256" s="783" t="s">
        <v>1171</v>
      </c>
      <c r="C256" s="828" t="s">
        <v>1180</v>
      </c>
      <c r="D256" s="468" t="s">
        <v>609</v>
      </c>
      <c r="E256" s="593">
        <v>2067</v>
      </c>
      <c r="F256" s="616">
        <v>0</v>
      </c>
      <c r="G256" s="743">
        <v>0</v>
      </c>
      <c r="H256" s="763">
        <v>0</v>
      </c>
      <c r="I256" s="13" t="e">
        <f>+#REF!-#REF!</f>
        <v>#REF!</v>
      </c>
      <c r="K256" s="102"/>
    </row>
    <row r="257" spans="1:12" x14ac:dyDescent="0.2">
      <c r="A257" s="71"/>
      <c r="B257" s="783" t="s">
        <v>1171</v>
      </c>
      <c r="C257" s="828" t="s">
        <v>1184</v>
      </c>
      <c r="D257" s="468" t="s">
        <v>705</v>
      </c>
      <c r="E257" s="593">
        <v>1292</v>
      </c>
      <c r="F257" s="616">
        <v>0</v>
      </c>
      <c r="G257" s="743">
        <v>0</v>
      </c>
      <c r="H257" s="763">
        <v>0</v>
      </c>
      <c r="I257" s="13" t="e">
        <f>+#REF!-#REF!</f>
        <v>#REF!</v>
      </c>
      <c r="K257" s="102"/>
    </row>
    <row r="258" spans="1:12" s="580" customFormat="1" x14ac:dyDescent="0.2">
      <c r="A258" s="71"/>
      <c r="B258" s="783">
        <v>1110125601</v>
      </c>
      <c r="C258" s="828">
        <v>5110.1390000000001</v>
      </c>
      <c r="D258" s="600" t="s">
        <v>1291</v>
      </c>
      <c r="E258" s="593">
        <v>197</v>
      </c>
      <c r="F258" s="616">
        <v>0</v>
      </c>
      <c r="G258" s="743">
        <v>0</v>
      </c>
      <c r="H258" s="763">
        <v>0</v>
      </c>
      <c r="I258" s="13"/>
      <c r="L258" s="102"/>
    </row>
    <row r="259" spans="1:12" s="580" customFormat="1" x14ac:dyDescent="0.2">
      <c r="A259" s="71"/>
      <c r="B259" s="783">
        <v>1110125601</v>
      </c>
      <c r="C259" s="828">
        <v>5910.107</v>
      </c>
      <c r="D259" s="600" t="s">
        <v>1294</v>
      </c>
      <c r="E259" s="593">
        <v>1200</v>
      </c>
      <c r="F259" s="616">
        <v>0</v>
      </c>
      <c r="G259" s="743">
        <v>0</v>
      </c>
      <c r="H259" s="763">
        <v>0</v>
      </c>
      <c r="I259" s="13"/>
      <c r="L259" s="102"/>
    </row>
    <row r="260" spans="1:12" s="580" customFormat="1" x14ac:dyDescent="0.2">
      <c r="A260" s="71"/>
      <c r="B260" s="783">
        <v>1110125601</v>
      </c>
      <c r="C260" s="828">
        <v>5910.12</v>
      </c>
      <c r="D260" s="600" t="s">
        <v>1288</v>
      </c>
      <c r="E260" s="593">
        <v>1048</v>
      </c>
      <c r="F260" s="616">
        <v>0</v>
      </c>
      <c r="G260" s="743">
        <v>0</v>
      </c>
      <c r="H260" s="763">
        <v>0</v>
      </c>
      <c r="I260" s="13"/>
      <c r="L260" s="102"/>
    </row>
    <row r="261" spans="1:12" s="580" customFormat="1" x14ac:dyDescent="0.2">
      <c r="A261" s="71"/>
      <c r="B261" s="783" t="s">
        <v>1171</v>
      </c>
      <c r="C261" s="828">
        <v>5910.1210000000001</v>
      </c>
      <c r="D261" s="600" t="s">
        <v>1293</v>
      </c>
      <c r="E261" s="593">
        <v>260</v>
      </c>
      <c r="F261" s="616">
        <v>0</v>
      </c>
      <c r="G261" s="743">
        <v>0</v>
      </c>
      <c r="H261" s="763">
        <v>0</v>
      </c>
      <c r="I261" s="13"/>
      <c r="L261" s="102"/>
    </row>
    <row r="262" spans="1:12" s="580" customFormat="1" x14ac:dyDescent="0.2">
      <c r="A262" s="71"/>
      <c r="B262" s="783" t="s">
        <v>1171</v>
      </c>
      <c r="C262" s="828">
        <v>6110.1409999999996</v>
      </c>
      <c r="D262" s="600" t="s">
        <v>1283</v>
      </c>
      <c r="E262" s="593">
        <v>44</v>
      </c>
      <c r="F262" s="616">
        <v>0</v>
      </c>
      <c r="G262" s="743">
        <v>0</v>
      </c>
      <c r="H262" s="763">
        <v>0</v>
      </c>
      <c r="I262" s="13"/>
      <c r="L262" s="102"/>
    </row>
    <row r="263" spans="1:12" x14ac:dyDescent="0.2">
      <c r="A263" s="71"/>
      <c r="B263" s="783" t="s">
        <v>1171</v>
      </c>
      <c r="C263" s="828" t="s">
        <v>1181</v>
      </c>
      <c r="D263" s="468" t="s">
        <v>611</v>
      </c>
      <c r="E263" s="593">
        <v>1000</v>
      </c>
      <c r="F263" s="616">
        <v>500</v>
      </c>
      <c r="G263" s="743">
        <v>500</v>
      </c>
      <c r="H263" s="763">
        <v>500</v>
      </c>
      <c r="I263" s="13" t="e">
        <f>+#REF!-#REF!</f>
        <v>#REF!</v>
      </c>
      <c r="K263" s="102"/>
    </row>
    <row r="264" spans="1:12" x14ac:dyDescent="0.2">
      <c r="A264" s="71"/>
      <c r="B264" s="783" t="s">
        <v>1171</v>
      </c>
      <c r="C264" s="828" t="s">
        <v>1182</v>
      </c>
      <c r="D264" s="468" t="s">
        <v>610</v>
      </c>
      <c r="E264" s="593">
        <v>1774</v>
      </c>
      <c r="F264" s="616">
        <v>500</v>
      </c>
      <c r="G264" s="743">
        <v>500</v>
      </c>
      <c r="H264" s="763">
        <v>500</v>
      </c>
      <c r="I264" s="13" t="e">
        <f>+#REF!-#REF!</f>
        <v>#REF!</v>
      </c>
      <c r="K264" s="102"/>
    </row>
    <row r="265" spans="1:12" s="580" customFormat="1" x14ac:dyDescent="0.2">
      <c r="A265" s="71"/>
      <c r="B265" s="783">
        <v>1110125601</v>
      </c>
      <c r="C265" s="828">
        <v>6420.11</v>
      </c>
      <c r="D265" s="600" t="s">
        <v>1281</v>
      </c>
      <c r="E265" s="593">
        <v>3469</v>
      </c>
      <c r="F265" s="616">
        <v>0</v>
      </c>
      <c r="G265" s="743">
        <v>0</v>
      </c>
      <c r="H265" s="763">
        <v>0</v>
      </c>
      <c r="I265" s="13"/>
      <c r="L265" s="102"/>
    </row>
    <row r="266" spans="1:12" x14ac:dyDescent="0.2">
      <c r="A266" s="71"/>
      <c r="B266" s="783" t="s">
        <v>1171</v>
      </c>
      <c r="C266" s="828" t="s">
        <v>1183</v>
      </c>
      <c r="D266" s="468" t="s">
        <v>612</v>
      </c>
      <c r="E266" s="593">
        <v>0</v>
      </c>
      <c r="F266" s="616">
        <v>0</v>
      </c>
      <c r="G266" s="743">
        <v>0</v>
      </c>
      <c r="H266" s="763">
        <v>0</v>
      </c>
      <c r="I266" s="13" t="e">
        <f>+#REF!-#REF!</f>
        <v>#REF!</v>
      </c>
    </row>
    <row r="267" spans="1:12" s="760" customFormat="1" x14ac:dyDescent="0.2">
      <c r="A267" s="71"/>
      <c r="B267" s="783"/>
      <c r="C267" s="828"/>
      <c r="D267" s="600" t="s">
        <v>1457</v>
      </c>
      <c r="E267" s="593"/>
      <c r="F267" s="616"/>
      <c r="G267" s="743"/>
      <c r="H267" s="763">
        <v>19312</v>
      </c>
      <c r="I267" s="13"/>
      <c r="L267" s="102"/>
    </row>
    <row r="268" spans="1:12" x14ac:dyDescent="0.2">
      <c r="B268" s="797" t="s">
        <v>19</v>
      </c>
      <c r="C268" s="779"/>
      <c r="D268" s="252"/>
      <c r="E268" s="594">
        <f>SUM(E229:E266)</f>
        <v>122265</v>
      </c>
      <c r="F268" s="617">
        <f>SUM(F229:F266)</f>
        <v>99728</v>
      </c>
      <c r="G268" s="744">
        <f>SUM(G229:G266)</f>
        <v>99728</v>
      </c>
      <c r="H268" s="764">
        <f>SUM(H229:H267)</f>
        <v>119040</v>
      </c>
      <c r="I268" s="15" t="e">
        <f>SUM(I229:I266)</f>
        <v>#REF!</v>
      </c>
    </row>
    <row r="269" spans="1:12" ht="8.1" customHeight="1" x14ac:dyDescent="0.2">
      <c r="A269" s="71"/>
      <c r="B269" s="730"/>
      <c r="C269" s="805"/>
      <c r="E269" s="597"/>
      <c r="F269" s="620"/>
      <c r="G269" s="746"/>
      <c r="H269" s="767"/>
      <c r="I269" s="13"/>
    </row>
    <row r="270" spans="1:12" x14ac:dyDescent="0.2">
      <c r="A270" s="71">
        <v>10304</v>
      </c>
      <c r="B270" s="783" t="s">
        <v>1165</v>
      </c>
      <c r="C270" s="828" t="s">
        <v>1170</v>
      </c>
      <c r="D270" s="468" t="s">
        <v>753</v>
      </c>
      <c r="E270" s="593">
        <v>0</v>
      </c>
      <c r="F270" s="616">
        <v>0</v>
      </c>
      <c r="G270" s="743">
        <v>0</v>
      </c>
      <c r="H270" s="763">
        <v>0</v>
      </c>
      <c r="I270" s="13" t="e">
        <f>+#REF!-#REF!</f>
        <v>#REF!</v>
      </c>
      <c r="J270" s="9"/>
      <c r="K270" s="9"/>
    </row>
    <row r="271" spans="1:12" x14ac:dyDescent="0.2">
      <c r="A271" s="71">
        <v>10981</v>
      </c>
      <c r="B271" s="783" t="s">
        <v>1165</v>
      </c>
      <c r="C271" s="828" t="s">
        <v>1169</v>
      </c>
      <c r="D271" s="468" t="s">
        <v>706</v>
      </c>
      <c r="E271" s="593">
        <v>0</v>
      </c>
      <c r="F271" s="616">
        <v>0</v>
      </c>
      <c r="G271" s="743">
        <v>0</v>
      </c>
      <c r="H271" s="763">
        <v>0</v>
      </c>
      <c r="I271" s="13" t="e">
        <f>+#REF!-#REF!</f>
        <v>#REF!</v>
      </c>
      <c r="J271" s="9"/>
      <c r="K271" s="9"/>
    </row>
    <row r="272" spans="1:12" s="580" customFormat="1" x14ac:dyDescent="0.2">
      <c r="A272" s="71"/>
      <c r="B272" s="783">
        <v>1110126766</v>
      </c>
      <c r="C272" s="828">
        <v>1240.1199999999999</v>
      </c>
      <c r="D272" s="600" t="s">
        <v>1298</v>
      </c>
      <c r="E272" s="593">
        <v>800</v>
      </c>
      <c r="F272" s="616">
        <v>0</v>
      </c>
      <c r="G272" s="743">
        <v>800</v>
      </c>
      <c r="H272" s="763">
        <v>800</v>
      </c>
      <c r="I272" s="13"/>
      <c r="J272" s="104"/>
      <c r="L272" s="102"/>
    </row>
    <row r="273" spans="1:13" s="580" customFormat="1" x14ac:dyDescent="0.2">
      <c r="A273" s="71"/>
      <c r="B273" s="783">
        <v>1110126766</v>
      </c>
      <c r="C273" s="828">
        <v>1240.123</v>
      </c>
      <c r="D273" s="600" t="s">
        <v>1459</v>
      </c>
      <c r="E273" s="593">
        <v>1000</v>
      </c>
      <c r="F273" s="616">
        <v>0</v>
      </c>
      <c r="G273" s="743">
        <v>0</v>
      </c>
      <c r="H273" s="763">
        <v>0</v>
      </c>
      <c r="I273" s="13"/>
      <c r="J273" s="104"/>
      <c r="L273" s="102"/>
    </row>
    <row r="274" spans="1:13" s="580" customFormat="1" x14ac:dyDescent="0.2">
      <c r="A274" s="71"/>
      <c r="B274" s="783">
        <v>1110126766</v>
      </c>
      <c r="C274" s="828">
        <v>1240.124</v>
      </c>
      <c r="D274" s="600" t="s">
        <v>1301</v>
      </c>
      <c r="E274" s="593">
        <v>600</v>
      </c>
      <c r="F274" s="616">
        <v>0</v>
      </c>
      <c r="G274" s="743">
        <v>600</v>
      </c>
      <c r="H274" s="763">
        <v>600</v>
      </c>
      <c r="I274" s="13"/>
      <c r="J274" s="104"/>
      <c r="L274" s="102"/>
    </row>
    <row r="275" spans="1:13" x14ac:dyDescent="0.2">
      <c r="A275" s="71"/>
      <c r="B275" s="783" t="s">
        <v>1165</v>
      </c>
      <c r="C275" s="828" t="s">
        <v>1166</v>
      </c>
      <c r="D275" s="600" t="s">
        <v>313</v>
      </c>
      <c r="E275" s="593">
        <v>7747</v>
      </c>
      <c r="F275" s="616">
        <v>800</v>
      </c>
      <c r="G275" s="743">
        <v>1573</v>
      </c>
      <c r="H275" s="763">
        <v>1573</v>
      </c>
      <c r="I275" s="13" t="e">
        <f>+#REF!-#REF!</f>
        <v>#REF!</v>
      </c>
      <c r="J275" s="9"/>
      <c r="K275" s="9"/>
      <c r="M275" s="102"/>
    </row>
    <row r="276" spans="1:13" x14ac:dyDescent="0.2">
      <c r="A276" s="71"/>
      <c r="B276" s="783" t="s">
        <v>1165</v>
      </c>
      <c r="C276" s="828" t="s">
        <v>1167</v>
      </c>
      <c r="D276" s="600" t="s">
        <v>1297</v>
      </c>
      <c r="E276" s="593">
        <v>300</v>
      </c>
      <c r="F276" s="616">
        <v>800</v>
      </c>
      <c r="G276" s="743">
        <v>1400</v>
      </c>
      <c r="H276" s="763">
        <v>2398</v>
      </c>
      <c r="I276" s="13" t="e">
        <f>+#REF!-#REF!</f>
        <v>#REF!</v>
      </c>
      <c r="J276" s="9"/>
      <c r="K276" s="9"/>
    </row>
    <row r="277" spans="1:13" x14ac:dyDescent="0.2">
      <c r="A277" s="71"/>
      <c r="B277" s="783" t="s">
        <v>1165</v>
      </c>
      <c r="C277" s="828" t="s">
        <v>1168</v>
      </c>
      <c r="D277" s="468" t="s">
        <v>276</v>
      </c>
      <c r="E277" s="593">
        <v>2522</v>
      </c>
      <c r="F277" s="616">
        <v>0</v>
      </c>
      <c r="G277" s="743">
        <v>0</v>
      </c>
      <c r="H277" s="763">
        <v>0</v>
      </c>
      <c r="I277" s="13" t="e">
        <f>+#REF!-#REF!</f>
        <v>#REF!</v>
      </c>
      <c r="J277" s="9"/>
      <c r="K277" s="9"/>
      <c r="L277" s="102"/>
    </row>
    <row r="278" spans="1:13" x14ac:dyDescent="0.2">
      <c r="A278" s="71"/>
      <c r="B278" s="783" t="s">
        <v>1165</v>
      </c>
      <c r="C278" s="828" t="s">
        <v>903</v>
      </c>
      <c r="D278" s="468" t="s">
        <v>277</v>
      </c>
      <c r="E278" s="593">
        <v>2426</v>
      </c>
      <c r="F278" s="616">
        <v>480</v>
      </c>
      <c r="G278" s="743">
        <v>1104</v>
      </c>
      <c r="H278" s="763">
        <v>1104</v>
      </c>
      <c r="I278" s="13" t="e">
        <f>+#REF!-#REF!</f>
        <v>#REF!</v>
      </c>
      <c r="J278" s="9"/>
    </row>
    <row r="279" spans="1:13" x14ac:dyDescent="0.2">
      <c r="A279" s="71"/>
      <c r="B279" s="783" t="s">
        <v>1165</v>
      </c>
      <c r="C279" s="828" t="s">
        <v>904</v>
      </c>
      <c r="D279" s="468" t="s">
        <v>278</v>
      </c>
      <c r="E279" s="593">
        <v>594</v>
      </c>
      <c r="F279" s="616">
        <v>123</v>
      </c>
      <c r="G279" s="743">
        <v>335</v>
      </c>
      <c r="H279" s="763">
        <v>335</v>
      </c>
      <c r="I279" s="13" t="e">
        <f>+#REF!-#REF!</f>
        <v>#REF!</v>
      </c>
      <c r="J279" s="104"/>
      <c r="L279" s="102"/>
    </row>
    <row r="280" spans="1:13" x14ac:dyDescent="0.2">
      <c r="A280" s="71"/>
      <c r="B280" s="783">
        <v>1110126766</v>
      </c>
      <c r="C280" s="828">
        <v>3110.1149999999998</v>
      </c>
      <c r="D280" s="468" t="s">
        <v>752</v>
      </c>
      <c r="E280" s="593">
        <v>1500</v>
      </c>
      <c r="F280" s="616">
        <v>1500</v>
      </c>
      <c r="G280" s="743">
        <v>1500</v>
      </c>
      <c r="H280" s="763">
        <v>1500</v>
      </c>
      <c r="I280" s="13" t="e">
        <f>+#REF!-#REF!</f>
        <v>#REF!</v>
      </c>
      <c r="J280" s="9"/>
      <c r="L280" s="102"/>
    </row>
    <row r="281" spans="1:13" s="580" customFormat="1" x14ac:dyDescent="0.2">
      <c r="A281" s="71"/>
      <c r="B281" s="783">
        <v>1110126766</v>
      </c>
      <c r="C281" s="828">
        <v>3110.1190000000001</v>
      </c>
      <c r="D281" s="600" t="s">
        <v>1458</v>
      </c>
      <c r="E281" s="593">
        <v>500</v>
      </c>
      <c r="F281" s="616">
        <v>0</v>
      </c>
      <c r="G281" s="743">
        <v>0</v>
      </c>
      <c r="H281" s="763">
        <v>160</v>
      </c>
      <c r="I281" s="13"/>
      <c r="J281" s="104"/>
      <c r="L281" s="102"/>
    </row>
    <row r="282" spans="1:13" s="580" customFormat="1" x14ac:dyDescent="0.2">
      <c r="A282" s="71"/>
      <c r="B282" s="783">
        <v>1110126766</v>
      </c>
      <c r="C282" s="828">
        <v>3110.1219999999998</v>
      </c>
      <c r="D282" s="600" t="s">
        <v>1300</v>
      </c>
      <c r="E282" s="593">
        <v>800</v>
      </c>
      <c r="F282" s="616">
        <v>800</v>
      </c>
      <c r="G282" s="743">
        <v>800</v>
      </c>
      <c r="H282" s="763">
        <v>800</v>
      </c>
      <c r="I282" s="13"/>
      <c r="J282" s="104"/>
      <c r="L282" s="102"/>
    </row>
    <row r="283" spans="1:13" s="580" customFormat="1" x14ac:dyDescent="0.2">
      <c r="A283" s="71"/>
      <c r="B283" s="783">
        <v>1110126766</v>
      </c>
      <c r="C283" s="828">
        <v>5110.116</v>
      </c>
      <c r="D283" s="600" t="s">
        <v>1299</v>
      </c>
      <c r="E283" s="593">
        <v>91</v>
      </c>
      <c r="F283" s="616">
        <v>4609</v>
      </c>
      <c r="G283" s="743">
        <v>1000</v>
      </c>
      <c r="H283" s="763">
        <v>1000</v>
      </c>
      <c r="I283" s="13"/>
      <c r="J283" s="104"/>
      <c r="L283" s="102"/>
    </row>
    <row r="284" spans="1:13" s="580" customFormat="1" x14ac:dyDescent="0.2">
      <c r="A284" s="71"/>
      <c r="B284" s="783">
        <v>1110126766</v>
      </c>
      <c r="C284" s="828">
        <v>5110.1189999999997</v>
      </c>
      <c r="D284" s="600" t="s">
        <v>1322</v>
      </c>
      <c r="E284" s="593">
        <v>1000</v>
      </c>
      <c r="F284" s="616">
        <v>2175</v>
      </c>
      <c r="G284" s="743">
        <v>2175</v>
      </c>
      <c r="H284" s="763">
        <v>2175</v>
      </c>
      <c r="I284" s="13"/>
      <c r="J284" s="104"/>
      <c r="L284" s="102"/>
    </row>
    <row r="285" spans="1:13" s="760" customFormat="1" x14ac:dyDescent="0.2">
      <c r="A285" s="71"/>
      <c r="B285" s="783"/>
      <c r="C285" s="828"/>
      <c r="D285" s="600" t="s">
        <v>1460</v>
      </c>
      <c r="E285" s="593"/>
      <c r="F285" s="616"/>
      <c r="G285" s="743"/>
      <c r="H285" s="763">
        <v>10020</v>
      </c>
      <c r="I285" s="13"/>
      <c r="J285" s="104"/>
      <c r="L285" s="102"/>
    </row>
    <row r="286" spans="1:13" x14ac:dyDescent="0.2">
      <c r="B286" s="797" t="s">
        <v>263</v>
      </c>
      <c r="C286" s="779"/>
      <c r="D286" s="252"/>
      <c r="E286" s="594">
        <f>SUM(E270:E284)</f>
        <v>19880</v>
      </c>
      <c r="F286" s="617">
        <f>SUM(F270:F284)</f>
        <v>11287</v>
      </c>
      <c r="G286" s="744">
        <f>SUM(G270:G284)</f>
        <v>11287</v>
      </c>
      <c r="H286" s="764">
        <f>SUM(H270:H285)</f>
        <v>22465</v>
      </c>
      <c r="I286" s="15" t="e">
        <f>SUM(I270:I284)</f>
        <v>#REF!</v>
      </c>
    </row>
    <row r="287" spans="1:13" ht="7.7" customHeight="1" x14ac:dyDescent="0.2">
      <c r="A287" s="76"/>
      <c r="B287" s="798"/>
      <c r="C287" s="780"/>
      <c r="D287" s="5"/>
      <c r="E287" s="593"/>
      <c r="F287" s="616"/>
      <c r="G287" s="743"/>
      <c r="H287" s="763"/>
      <c r="I287" s="13"/>
    </row>
    <row r="288" spans="1:13" s="580" customFormat="1" x14ac:dyDescent="0.2">
      <c r="A288" s="71"/>
      <c r="B288" s="783" t="s">
        <v>1302</v>
      </c>
      <c r="C288" s="599">
        <v>1240.1320000000001</v>
      </c>
      <c r="D288" s="600" t="s">
        <v>1303</v>
      </c>
      <c r="E288" s="593">
        <v>2250</v>
      </c>
      <c r="F288" s="616">
        <v>2250</v>
      </c>
      <c r="G288" s="743">
        <v>2250</v>
      </c>
      <c r="H288" s="763">
        <v>2250</v>
      </c>
      <c r="I288" s="13"/>
      <c r="J288" s="9"/>
    </row>
    <row r="289" spans="1:11" s="580" customFormat="1" x14ac:dyDescent="0.2">
      <c r="A289" s="71"/>
      <c r="B289" s="782">
        <v>1100129754</v>
      </c>
      <c r="C289" s="599">
        <v>2820</v>
      </c>
      <c r="D289" s="600" t="s">
        <v>632</v>
      </c>
      <c r="E289" s="593">
        <v>750</v>
      </c>
      <c r="F289" s="616">
        <v>675</v>
      </c>
      <c r="G289" s="743">
        <v>675</v>
      </c>
      <c r="H289" s="763">
        <v>675</v>
      </c>
      <c r="I289" s="13"/>
      <c r="J289" s="9"/>
    </row>
    <row r="290" spans="1:11" s="580" customFormat="1" x14ac:dyDescent="0.2">
      <c r="A290" s="71"/>
      <c r="B290" s="783">
        <v>1100129754</v>
      </c>
      <c r="C290" s="599">
        <v>2830</v>
      </c>
      <c r="D290" s="600" t="s">
        <v>633</v>
      </c>
      <c r="E290" s="593">
        <v>200</v>
      </c>
      <c r="F290" s="616">
        <v>173</v>
      </c>
      <c r="G290" s="743">
        <v>173</v>
      </c>
      <c r="H290" s="763">
        <v>173</v>
      </c>
      <c r="I290" s="13"/>
      <c r="J290" s="9"/>
    </row>
    <row r="291" spans="1:11" x14ac:dyDescent="0.2">
      <c r="A291" s="71"/>
      <c r="B291" s="783" t="s">
        <v>1154</v>
      </c>
      <c r="C291" s="828" t="s">
        <v>1156</v>
      </c>
      <c r="D291" s="468" t="s">
        <v>694</v>
      </c>
      <c r="E291" s="593">
        <v>0</v>
      </c>
      <c r="F291" s="616">
        <v>0</v>
      </c>
      <c r="G291" s="743">
        <v>0</v>
      </c>
      <c r="H291" s="763">
        <v>0</v>
      </c>
      <c r="I291" s="13" t="e">
        <f>+#REF!-#REF!</f>
        <v>#REF!</v>
      </c>
      <c r="J291" s="9"/>
      <c r="K291" s="81"/>
    </row>
    <row r="292" spans="1:11" x14ac:dyDescent="0.2">
      <c r="A292" s="71"/>
      <c r="B292" s="783" t="s">
        <v>1154</v>
      </c>
      <c r="C292" s="828" t="s">
        <v>1153</v>
      </c>
      <c r="D292" s="468" t="s">
        <v>663</v>
      </c>
      <c r="E292" s="593">
        <v>1500</v>
      </c>
      <c r="F292" s="616">
        <v>1000</v>
      </c>
      <c r="G292" s="743">
        <v>1000</v>
      </c>
      <c r="H292" s="763">
        <v>3000</v>
      </c>
      <c r="I292" s="13"/>
      <c r="J292" s="9"/>
    </row>
    <row r="293" spans="1:11" x14ac:dyDescent="0.2">
      <c r="A293" s="71"/>
      <c r="B293" s="783" t="s">
        <v>1154</v>
      </c>
      <c r="C293" s="828" t="s">
        <v>1155</v>
      </c>
      <c r="D293" s="468" t="s">
        <v>664</v>
      </c>
      <c r="E293" s="593">
        <v>0</v>
      </c>
      <c r="F293" s="616">
        <v>2902</v>
      </c>
      <c r="G293" s="743">
        <v>2902</v>
      </c>
      <c r="H293" s="763">
        <v>2902</v>
      </c>
      <c r="I293" s="13"/>
      <c r="J293" s="9"/>
    </row>
    <row r="294" spans="1:11" hidden="1" x14ac:dyDescent="0.2">
      <c r="A294" s="71"/>
      <c r="B294" s="829"/>
      <c r="C294" s="808"/>
      <c r="D294" s="468" t="s">
        <v>695</v>
      </c>
      <c r="E294" s="593">
        <v>0</v>
      </c>
      <c r="F294" s="616">
        <v>0</v>
      </c>
      <c r="G294" s="743">
        <v>0</v>
      </c>
      <c r="H294" s="763">
        <v>0</v>
      </c>
      <c r="I294" s="13" t="e">
        <f>+#REF!-#REF!</f>
        <v>#REF!</v>
      </c>
    </row>
    <row r="295" spans="1:11" x14ac:dyDescent="0.2">
      <c r="A295" s="71"/>
      <c r="B295" s="783" t="s">
        <v>1162</v>
      </c>
      <c r="C295" s="828" t="s">
        <v>1164</v>
      </c>
      <c r="D295" s="468" t="s">
        <v>662</v>
      </c>
      <c r="E295" s="593">
        <v>1700</v>
      </c>
      <c r="F295" s="616">
        <v>0</v>
      </c>
      <c r="G295" s="743">
        <v>0</v>
      </c>
      <c r="H295" s="763">
        <v>0</v>
      </c>
      <c r="I295" s="13" t="e">
        <f>+#REF!-#REF!</f>
        <v>#REF!</v>
      </c>
    </row>
    <row r="296" spans="1:11" x14ac:dyDescent="0.2">
      <c r="A296" s="71"/>
      <c r="B296" s="783" t="s">
        <v>1162</v>
      </c>
      <c r="C296" s="828" t="s">
        <v>1163</v>
      </c>
      <c r="D296" s="468" t="s">
        <v>653</v>
      </c>
      <c r="E296" s="593">
        <v>1600</v>
      </c>
      <c r="F296" s="616">
        <v>1000</v>
      </c>
      <c r="G296" s="743">
        <v>1000</v>
      </c>
      <c r="H296" s="763">
        <v>2392</v>
      </c>
      <c r="I296" s="13" t="e">
        <f>+#REF!-#REF!</f>
        <v>#REF!</v>
      </c>
    </row>
    <row r="297" spans="1:11" x14ac:dyDescent="0.2">
      <c r="A297" s="71"/>
      <c r="B297" s="783" t="s">
        <v>1162</v>
      </c>
      <c r="C297" s="828" t="s">
        <v>1233</v>
      </c>
      <c r="D297" s="468" t="s">
        <v>754</v>
      </c>
      <c r="E297" s="593">
        <v>2000</v>
      </c>
      <c r="F297" s="616">
        <v>2000</v>
      </c>
      <c r="G297" s="743">
        <v>2000</v>
      </c>
      <c r="H297" s="763">
        <v>2000</v>
      </c>
      <c r="I297" s="13"/>
    </row>
    <row r="298" spans="1:11" x14ac:dyDescent="0.2">
      <c r="B298" s="797" t="s">
        <v>631</v>
      </c>
      <c r="C298" s="779"/>
      <c r="D298" s="252"/>
      <c r="E298" s="594">
        <f>SUM(E288:E297)</f>
        <v>10000</v>
      </c>
      <c r="F298" s="617">
        <f>SUM(F288:F297)</f>
        <v>10000</v>
      </c>
      <c r="G298" s="744">
        <f>SUM(G288:G297)</f>
        <v>10000</v>
      </c>
      <c r="H298" s="764">
        <f>SUM(H288:H297)</f>
        <v>13392</v>
      </c>
      <c r="I298" s="15" t="e">
        <f>SUM(I288:I297)</f>
        <v>#REF!</v>
      </c>
    </row>
    <row r="299" spans="1:11" ht="6.95" customHeight="1" x14ac:dyDescent="0.2">
      <c r="A299" s="76"/>
      <c r="B299" s="798"/>
      <c r="C299" s="780"/>
      <c r="D299" s="5"/>
      <c r="E299" s="597"/>
      <c r="F299" s="620"/>
      <c r="G299" s="746"/>
      <c r="H299" s="767"/>
      <c r="I299" s="13"/>
    </row>
    <row r="300" spans="1:11" x14ac:dyDescent="0.2">
      <c r="A300" s="71"/>
      <c r="B300" s="783" t="s">
        <v>1225</v>
      </c>
      <c r="C300" s="828" t="s">
        <v>1226</v>
      </c>
      <c r="D300" s="9" t="s">
        <v>560</v>
      </c>
      <c r="E300" s="593">
        <v>0</v>
      </c>
      <c r="F300" s="616">
        <v>64187</v>
      </c>
      <c r="G300" s="743">
        <v>64216</v>
      </c>
      <c r="H300" s="763">
        <v>64366</v>
      </c>
      <c r="I300" s="13" t="e">
        <f>+#REF!-#REF!</f>
        <v>#REF!</v>
      </c>
    </row>
    <row r="301" spans="1:11" x14ac:dyDescent="0.2">
      <c r="A301" s="71"/>
      <c r="B301" s="783" t="s">
        <v>1225</v>
      </c>
      <c r="C301" s="828" t="s">
        <v>1227</v>
      </c>
      <c r="D301" s="9" t="s">
        <v>667</v>
      </c>
      <c r="E301" s="593">
        <v>1525.45</v>
      </c>
      <c r="F301" s="616">
        <v>1600</v>
      </c>
      <c r="G301" s="743">
        <v>1600</v>
      </c>
      <c r="H301" s="763">
        <v>1600</v>
      </c>
      <c r="I301" s="13"/>
    </row>
    <row r="302" spans="1:11" x14ac:dyDescent="0.2">
      <c r="A302" s="71"/>
      <c r="B302" s="783" t="s">
        <v>1225</v>
      </c>
      <c r="C302" s="828" t="s">
        <v>1228</v>
      </c>
      <c r="D302" s="9" t="s">
        <v>561</v>
      </c>
      <c r="E302" s="593">
        <v>5764</v>
      </c>
      <c r="F302" s="616">
        <v>5764</v>
      </c>
      <c r="G302" s="743">
        <v>5764</v>
      </c>
      <c r="H302" s="763">
        <v>5764</v>
      </c>
      <c r="I302" s="13" t="e">
        <f>+#REF!-#REF!</f>
        <v>#REF!</v>
      </c>
    </row>
    <row r="303" spans="1:11" x14ac:dyDescent="0.2">
      <c r="A303" s="71"/>
      <c r="B303" s="783" t="s">
        <v>1225</v>
      </c>
      <c r="C303" s="828" t="s">
        <v>1229</v>
      </c>
      <c r="D303" s="9" t="s">
        <v>577</v>
      </c>
      <c r="E303" s="593">
        <v>0</v>
      </c>
      <c r="F303" s="616">
        <v>23025</v>
      </c>
      <c r="G303" s="743">
        <v>22753</v>
      </c>
      <c r="H303" s="763">
        <v>22753</v>
      </c>
      <c r="I303" s="13" t="e">
        <f>+#REF!-#REF!</f>
        <v>#REF!</v>
      </c>
    </row>
    <row r="304" spans="1:11" x14ac:dyDescent="0.2">
      <c r="A304" s="71"/>
      <c r="B304" s="783" t="s">
        <v>1225</v>
      </c>
      <c r="C304" s="828">
        <v>2820</v>
      </c>
      <c r="D304" s="9" t="s">
        <v>578</v>
      </c>
      <c r="E304" s="593">
        <v>1787</v>
      </c>
      <c r="F304" s="616">
        <v>21466</v>
      </c>
      <c r="G304" s="743">
        <v>22190</v>
      </c>
      <c r="H304" s="763">
        <v>22237</v>
      </c>
      <c r="I304" s="13" t="e">
        <f>+#REF!-#REF!</f>
        <v>#REF!</v>
      </c>
    </row>
    <row r="305" spans="1:13" x14ac:dyDescent="0.2">
      <c r="A305" s="71"/>
      <c r="B305" s="783" t="s">
        <v>1225</v>
      </c>
      <c r="C305" s="828" t="s">
        <v>904</v>
      </c>
      <c r="D305" s="9" t="s">
        <v>579</v>
      </c>
      <c r="E305" s="593">
        <v>441</v>
      </c>
      <c r="F305" s="616">
        <v>5474</v>
      </c>
      <c r="G305" s="743">
        <v>5476</v>
      </c>
      <c r="H305" s="763">
        <v>5488</v>
      </c>
      <c r="I305" s="13" t="e">
        <f>+#REF!-#REF!</f>
        <v>#REF!</v>
      </c>
      <c r="M305" s="789"/>
    </row>
    <row r="306" spans="1:13" hidden="1" x14ac:dyDescent="0.2">
      <c r="A306" s="71"/>
      <c r="B306" s="807"/>
      <c r="C306" s="808"/>
      <c r="D306" s="9" t="s">
        <v>658</v>
      </c>
      <c r="E306" s="593">
        <v>0</v>
      </c>
      <c r="F306" s="616">
        <v>0</v>
      </c>
      <c r="G306" s="743">
        <v>0</v>
      </c>
      <c r="H306" s="763">
        <v>0</v>
      </c>
      <c r="I306" s="13"/>
      <c r="M306" s="789"/>
    </row>
    <row r="307" spans="1:13" hidden="1" x14ac:dyDescent="0.2">
      <c r="A307" s="71"/>
      <c r="B307" s="807"/>
      <c r="C307" s="808"/>
      <c r="D307" t="s">
        <v>580</v>
      </c>
      <c r="E307" s="593">
        <v>0</v>
      </c>
      <c r="F307" s="616">
        <v>0</v>
      </c>
      <c r="G307" s="743">
        <v>0</v>
      </c>
      <c r="H307" s="763">
        <v>0</v>
      </c>
      <c r="I307" s="13" t="e">
        <f>+#REF!-#REF!</f>
        <v>#REF!</v>
      </c>
      <c r="M307" s="789"/>
    </row>
    <row r="308" spans="1:13" x14ac:dyDescent="0.2">
      <c r="A308" s="71"/>
      <c r="B308" s="783" t="s">
        <v>1225</v>
      </c>
      <c r="C308" s="828" t="s">
        <v>1230</v>
      </c>
      <c r="D308" s="9" t="s">
        <v>581</v>
      </c>
      <c r="E308" s="593">
        <v>1212.44</v>
      </c>
      <c r="F308" s="616">
        <v>3000</v>
      </c>
      <c r="G308" s="743">
        <v>3000</v>
      </c>
      <c r="H308" s="763">
        <v>3000</v>
      </c>
      <c r="I308" s="13" t="e">
        <f>+#REF!-#REF!</f>
        <v>#REF!</v>
      </c>
      <c r="M308" s="789"/>
    </row>
    <row r="309" spans="1:13" x14ac:dyDescent="0.2">
      <c r="B309" s="797" t="s">
        <v>20</v>
      </c>
      <c r="C309" s="779"/>
      <c r="D309" s="252"/>
      <c r="E309" s="594">
        <f>SUM(E300:E308)</f>
        <v>10729.890000000001</v>
      </c>
      <c r="F309" s="617">
        <f t="shared" ref="F309:L309" si="3">SUM(F300:F308)</f>
        <v>124516</v>
      </c>
      <c r="G309" s="744">
        <f t="shared" ref="G309:H309" si="4">SUM(G300:G308)</f>
        <v>124999</v>
      </c>
      <c r="H309" s="764">
        <f t="shared" si="4"/>
        <v>125208</v>
      </c>
      <c r="I309" s="594" t="e">
        <f t="shared" si="3"/>
        <v>#REF!</v>
      </c>
      <c r="J309" s="594">
        <f t="shared" si="3"/>
        <v>0</v>
      </c>
      <c r="K309" s="594">
        <f t="shared" si="3"/>
        <v>0</v>
      </c>
      <c r="L309" s="594">
        <f t="shared" si="3"/>
        <v>0</v>
      </c>
      <c r="M309" s="791"/>
    </row>
    <row r="310" spans="1:13" ht="5.0999999999999996" customHeight="1" x14ac:dyDescent="0.2">
      <c r="A310" s="71"/>
      <c r="B310" s="730"/>
      <c r="C310" s="805"/>
      <c r="E310" s="593"/>
      <c r="F310" s="616"/>
      <c r="G310" s="743"/>
      <c r="H310" s="763"/>
      <c r="I310" s="13"/>
      <c r="M310" s="789"/>
    </row>
    <row r="311" spans="1:13" x14ac:dyDescent="0.2">
      <c r="A311" s="71"/>
      <c r="B311" s="783" t="s">
        <v>950</v>
      </c>
      <c r="C311" s="828" t="s">
        <v>952</v>
      </c>
      <c r="D311" s="9" t="s">
        <v>314</v>
      </c>
      <c r="E311" s="593">
        <v>0</v>
      </c>
      <c r="F311" s="616">
        <v>61600</v>
      </c>
      <c r="G311" s="743">
        <v>9900</v>
      </c>
      <c r="H311" s="763">
        <v>10050</v>
      </c>
      <c r="I311" s="13" t="e">
        <f>+#REF!-#REF!</f>
        <v>#REF!</v>
      </c>
    </row>
    <row r="312" spans="1:13" x14ac:dyDescent="0.2">
      <c r="A312" s="71"/>
      <c r="B312" s="783" t="s">
        <v>950</v>
      </c>
      <c r="C312" s="828" t="s">
        <v>951</v>
      </c>
      <c r="D312" s="9" t="s">
        <v>736</v>
      </c>
      <c r="E312" s="593">
        <v>0</v>
      </c>
      <c r="F312" s="616">
        <v>0</v>
      </c>
      <c r="G312" s="743">
        <v>0</v>
      </c>
      <c r="H312" s="763">
        <v>0</v>
      </c>
      <c r="I312" s="13"/>
    </row>
    <row r="313" spans="1:13" x14ac:dyDescent="0.2">
      <c r="A313" s="71"/>
      <c r="B313" s="783" t="s">
        <v>950</v>
      </c>
      <c r="C313" s="828" t="s">
        <v>949</v>
      </c>
      <c r="D313" s="9" t="s">
        <v>279</v>
      </c>
      <c r="E313" s="593">
        <v>0</v>
      </c>
      <c r="F313" s="616">
        <v>22825</v>
      </c>
      <c r="G313" s="743">
        <v>0</v>
      </c>
      <c r="H313" s="763">
        <v>0</v>
      </c>
      <c r="I313" s="13" t="e">
        <f>+#REF!-#REF!</f>
        <v>#REF!</v>
      </c>
      <c r="J313" s="9"/>
    </row>
    <row r="314" spans="1:13" x14ac:dyDescent="0.2">
      <c r="A314" s="71"/>
      <c r="B314" s="783" t="s">
        <v>950</v>
      </c>
      <c r="C314" s="828" t="s">
        <v>903</v>
      </c>
      <c r="D314" s="9" t="s">
        <v>280</v>
      </c>
      <c r="E314" s="593">
        <v>0</v>
      </c>
      <c r="F314" s="616">
        <v>18480</v>
      </c>
      <c r="G314" s="743">
        <v>0</v>
      </c>
      <c r="H314" s="763">
        <v>0</v>
      </c>
      <c r="I314" s="13" t="e">
        <f>+#REF!-#REF!</f>
        <v>#REF!</v>
      </c>
    </row>
    <row r="315" spans="1:13" x14ac:dyDescent="0.2">
      <c r="A315" s="71"/>
      <c r="B315" s="783" t="s">
        <v>950</v>
      </c>
      <c r="C315" s="828" t="s">
        <v>953</v>
      </c>
      <c r="D315" s="9" t="s">
        <v>440</v>
      </c>
      <c r="E315" s="593">
        <v>0</v>
      </c>
      <c r="F315" s="616">
        <v>11488</v>
      </c>
      <c r="G315" s="743">
        <v>11488</v>
      </c>
      <c r="H315" s="763">
        <v>11488</v>
      </c>
      <c r="I315" s="13" t="e">
        <f>+#REF!-#REF!</f>
        <v>#REF!</v>
      </c>
    </row>
    <row r="316" spans="1:13" x14ac:dyDescent="0.2">
      <c r="A316" s="71"/>
      <c r="B316" s="783" t="s">
        <v>950</v>
      </c>
      <c r="C316" s="828" t="s">
        <v>904</v>
      </c>
      <c r="D316" s="9" t="s">
        <v>155</v>
      </c>
      <c r="E316" s="593">
        <v>0</v>
      </c>
      <c r="F316" s="616">
        <v>4713</v>
      </c>
      <c r="G316" s="743">
        <v>758</v>
      </c>
      <c r="H316" s="763">
        <v>769</v>
      </c>
      <c r="I316" s="13" t="e">
        <f>+#REF!-#REF!</f>
        <v>#REF!</v>
      </c>
    </row>
    <row r="317" spans="1:13" x14ac:dyDescent="0.2">
      <c r="A317" s="71"/>
      <c r="B317" s="783" t="s">
        <v>950</v>
      </c>
      <c r="C317" s="828" t="s">
        <v>954</v>
      </c>
      <c r="D317" s="9" t="s">
        <v>315</v>
      </c>
      <c r="E317" s="593">
        <v>0</v>
      </c>
      <c r="F317" s="616">
        <v>0</v>
      </c>
      <c r="G317" s="743">
        <v>500</v>
      </c>
      <c r="H317" s="763">
        <v>500</v>
      </c>
      <c r="I317" s="13" t="e">
        <f>+#REF!-#REF!</f>
        <v>#REF!</v>
      </c>
    </row>
    <row r="318" spans="1:13" x14ac:dyDescent="0.2">
      <c r="B318" s="797" t="s">
        <v>21</v>
      </c>
      <c r="C318" s="779"/>
      <c r="D318" s="252"/>
      <c r="E318" s="594">
        <f>SUM(E311:E317)</f>
        <v>0</v>
      </c>
      <c r="F318" s="617">
        <f>SUM(F311:F317)</f>
        <v>119106</v>
      </c>
      <c r="G318" s="744">
        <f>SUM(G311:G317)</f>
        <v>22646</v>
      </c>
      <c r="H318" s="764">
        <f>SUM(H311:H317)</f>
        <v>22807</v>
      </c>
      <c r="I318" s="15" t="e">
        <f>SUM(I311:I317)</f>
        <v>#REF!</v>
      </c>
    </row>
    <row r="319" spans="1:13" s="625" customFormat="1" ht="6.4" customHeight="1" x14ac:dyDescent="0.2">
      <c r="A319" s="76"/>
      <c r="B319" s="798"/>
      <c r="C319" s="780"/>
      <c r="D319" s="5"/>
      <c r="E319" s="629"/>
      <c r="F319" s="632"/>
      <c r="G319" s="747"/>
      <c r="H319" s="768"/>
      <c r="I319" s="13"/>
    </row>
    <row r="320" spans="1:13" s="625" customFormat="1" x14ac:dyDescent="0.2">
      <c r="A320" s="76"/>
      <c r="B320" s="782">
        <v>1100216238</v>
      </c>
      <c r="C320" s="599">
        <v>1440</v>
      </c>
      <c r="D320" s="519" t="s">
        <v>1306</v>
      </c>
      <c r="E320" s="629">
        <v>31020</v>
      </c>
      <c r="F320" s="632">
        <v>0</v>
      </c>
      <c r="G320" s="747">
        <v>0</v>
      </c>
      <c r="H320" s="768">
        <v>0</v>
      </c>
      <c r="I320" s="13"/>
    </row>
    <row r="321" spans="1:10" s="625" customFormat="1" x14ac:dyDescent="0.2">
      <c r="A321" s="76"/>
      <c r="B321" s="782">
        <v>1100216238</v>
      </c>
      <c r="C321" s="599">
        <v>2130</v>
      </c>
      <c r="D321" s="519" t="s">
        <v>279</v>
      </c>
      <c r="E321" s="629">
        <v>11314</v>
      </c>
      <c r="F321" s="632">
        <v>0</v>
      </c>
      <c r="G321" s="747">
        <v>0</v>
      </c>
      <c r="H321" s="768">
        <v>0</v>
      </c>
      <c r="I321" s="13"/>
    </row>
    <row r="322" spans="1:10" s="625" customFormat="1" x14ac:dyDescent="0.2">
      <c r="A322" s="76"/>
      <c r="B322" s="782">
        <v>1100216238</v>
      </c>
      <c r="C322" s="599">
        <v>2820</v>
      </c>
      <c r="D322" s="519" t="s">
        <v>280</v>
      </c>
      <c r="E322" s="629">
        <v>8686</v>
      </c>
      <c r="F322" s="632">
        <v>0</v>
      </c>
      <c r="G322" s="747">
        <v>0</v>
      </c>
      <c r="H322" s="768">
        <v>0</v>
      </c>
      <c r="I322" s="13"/>
    </row>
    <row r="323" spans="1:10" s="625" customFormat="1" x14ac:dyDescent="0.2">
      <c r="A323" s="76"/>
      <c r="B323" s="782">
        <v>1100216238</v>
      </c>
      <c r="C323" s="599">
        <v>2830</v>
      </c>
      <c r="D323" s="519" t="s">
        <v>155</v>
      </c>
      <c r="E323" s="629">
        <v>2374</v>
      </c>
      <c r="F323" s="632">
        <v>0</v>
      </c>
      <c r="G323" s="747">
        <v>0</v>
      </c>
      <c r="H323" s="768">
        <v>0</v>
      </c>
      <c r="I323" s="13"/>
    </row>
    <row r="324" spans="1:10" s="625" customFormat="1" x14ac:dyDescent="0.2">
      <c r="B324" s="799" t="s">
        <v>1307</v>
      </c>
      <c r="C324" s="803"/>
      <c r="D324" s="630"/>
      <c r="E324" s="594">
        <f>SUM(E319:E323)</f>
        <v>53394</v>
      </c>
      <c r="F324" s="617">
        <f>SUM(F319:F323)</f>
        <v>0</v>
      </c>
      <c r="G324" s="744">
        <f>SUM(G319:G323)</f>
        <v>0</v>
      </c>
      <c r="H324" s="764">
        <f>SUM(H319:H323)</f>
        <v>0</v>
      </c>
      <c r="I324" s="13"/>
    </row>
    <row r="325" spans="1:10" s="625" customFormat="1" ht="6.95" customHeight="1" x14ac:dyDescent="0.2">
      <c r="A325" s="627"/>
      <c r="B325" s="800"/>
      <c r="C325" s="784"/>
      <c r="D325" s="631"/>
      <c r="E325" s="593"/>
      <c r="F325" s="616"/>
      <c r="G325" s="743"/>
      <c r="H325" s="763"/>
      <c r="I325" s="13"/>
    </row>
    <row r="326" spans="1:10" s="625" customFormat="1" x14ac:dyDescent="0.2">
      <c r="A326" s="76"/>
      <c r="B326" s="782">
        <v>1100216249</v>
      </c>
      <c r="C326" s="599">
        <v>1440</v>
      </c>
      <c r="D326" s="519" t="s">
        <v>1308</v>
      </c>
      <c r="E326" s="593">
        <v>18330</v>
      </c>
      <c r="F326" s="616">
        <v>0</v>
      </c>
      <c r="G326" s="743">
        <v>0</v>
      </c>
      <c r="H326" s="763">
        <v>0</v>
      </c>
      <c r="I326" s="13"/>
    </row>
    <row r="327" spans="1:10" s="625" customFormat="1" x14ac:dyDescent="0.2">
      <c r="A327" s="76"/>
      <c r="B327" s="782">
        <v>1100216249</v>
      </c>
      <c r="C327" s="599">
        <v>2130</v>
      </c>
      <c r="D327" s="519" t="s">
        <v>279</v>
      </c>
      <c r="E327" s="593">
        <v>5965</v>
      </c>
      <c r="F327" s="616">
        <v>0</v>
      </c>
      <c r="G327" s="743">
        <v>0</v>
      </c>
      <c r="H327" s="763">
        <v>0</v>
      </c>
      <c r="I327" s="13"/>
    </row>
    <row r="328" spans="1:10" s="625" customFormat="1" x14ac:dyDescent="0.2">
      <c r="A328" s="76"/>
      <c r="B328" s="782">
        <v>1100216249</v>
      </c>
      <c r="C328" s="599">
        <v>2820</v>
      </c>
      <c r="D328" s="519" t="s">
        <v>280</v>
      </c>
      <c r="E328" s="593">
        <v>6614</v>
      </c>
      <c r="F328" s="616">
        <v>0</v>
      </c>
      <c r="G328" s="743">
        <v>0</v>
      </c>
      <c r="H328" s="763">
        <v>0</v>
      </c>
      <c r="I328" s="13"/>
    </row>
    <row r="329" spans="1:10" s="625" customFormat="1" x14ac:dyDescent="0.2">
      <c r="A329" s="76"/>
      <c r="B329" s="782">
        <v>1100216249</v>
      </c>
      <c r="C329" s="599">
        <v>2830</v>
      </c>
      <c r="D329" s="519" t="s">
        <v>155</v>
      </c>
      <c r="E329" s="593">
        <v>1403</v>
      </c>
      <c r="F329" s="616">
        <v>0</v>
      </c>
      <c r="G329" s="743">
        <v>0</v>
      </c>
      <c r="H329" s="763">
        <v>0</v>
      </c>
      <c r="I329" s="13"/>
    </row>
    <row r="330" spans="1:10" s="625" customFormat="1" x14ac:dyDescent="0.2">
      <c r="A330" s="76"/>
      <c r="B330" s="782">
        <v>1100216249</v>
      </c>
      <c r="C330" s="599">
        <v>5990.1419999999998</v>
      </c>
      <c r="D330" s="519" t="s">
        <v>1309</v>
      </c>
      <c r="E330" s="593">
        <v>6458</v>
      </c>
      <c r="F330" s="616">
        <v>0</v>
      </c>
      <c r="G330" s="743">
        <v>0</v>
      </c>
      <c r="H330" s="763">
        <v>7986</v>
      </c>
      <c r="I330" s="13"/>
    </row>
    <row r="331" spans="1:10" s="625" customFormat="1" x14ac:dyDescent="0.2">
      <c r="B331" s="799" t="s">
        <v>1310</v>
      </c>
      <c r="C331" s="803"/>
      <c r="D331" s="630"/>
      <c r="E331" s="594">
        <f>SUM(E325:E330)</f>
        <v>38770</v>
      </c>
      <c r="F331" s="617">
        <f>SUM(F325:F330)</f>
        <v>0</v>
      </c>
      <c r="G331" s="744">
        <f>SUM(G325:G330)</f>
        <v>0</v>
      </c>
      <c r="H331" s="764">
        <f>SUM(H325:H330)</f>
        <v>7986</v>
      </c>
      <c r="I331" s="13"/>
    </row>
    <row r="332" spans="1:10" ht="6.95" customHeight="1" x14ac:dyDescent="0.2">
      <c r="A332" s="71"/>
      <c r="B332" s="730"/>
      <c r="C332" s="805"/>
      <c r="E332" s="593"/>
      <c r="F332" s="616"/>
      <c r="G332" s="743"/>
      <c r="H332" s="763"/>
      <c r="I332" s="13"/>
    </row>
    <row r="333" spans="1:10" x14ac:dyDescent="0.2">
      <c r="A333" s="71"/>
      <c r="B333" s="783" t="s">
        <v>956</v>
      </c>
      <c r="C333" s="828" t="s">
        <v>955</v>
      </c>
      <c r="D333" s="9" t="s">
        <v>558</v>
      </c>
      <c r="E333" s="593">
        <v>0</v>
      </c>
      <c r="F333" s="616">
        <v>0</v>
      </c>
      <c r="G333" s="743">
        <v>0</v>
      </c>
      <c r="H333" s="763">
        <v>0</v>
      </c>
      <c r="I333" s="13" t="e">
        <f>+#REF!-#REF!</f>
        <v>#REF!</v>
      </c>
    </row>
    <row r="334" spans="1:10" x14ac:dyDescent="0.2">
      <c r="A334" s="71"/>
      <c r="B334" s="783" t="s">
        <v>956</v>
      </c>
      <c r="C334" s="828" t="s">
        <v>957</v>
      </c>
      <c r="D334" s="9" t="s">
        <v>742</v>
      </c>
      <c r="E334" s="593">
        <v>20839</v>
      </c>
      <c r="F334" s="616">
        <v>15000</v>
      </c>
      <c r="G334" s="743">
        <v>22000</v>
      </c>
      <c r="H334" s="763">
        <v>22000</v>
      </c>
      <c r="I334" s="13" t="e">
        <f>+#REF!-#REF!</f>
        <v>#REF!</v>
      </c>
    </row>
    <row r="335" spans="1:10" x14ac:dyDescent="0.2">
      <c r="A335" s="71"/>
      <c r="B335" s="783" t="s">
        <v>956</v>
      </c>
      <c r="C335" s="828" t="s">
        <v>958</v>
      </c>
      <c r="D335" s="9" t="s">
        <v>559</v>
      </c>
      <c r="E335" s="593">
        <v>0</v>
      </c>
      <c r="F335" s="616">
        <v>0</v>
      </c>
      <c r="G335" s="743">
        <v>0</v>
      </c>
      <c r="H335" s="763">
        <v>0</v>
      </c>
      <c r="I335" s="13" t="e">
        <f>+#REF!-#REF!</f>
        <v>#REF!</v>
      </c>
    </row>
    <row r="336" spans="1:10" x14ac:dyDescent="0.2">
      <c r="B336" s="797" t="s">
        <v>53</v>
      </c>
      <c r="C336" s="779"/>
      <c r="D336" s="252"/>
      <c r="E336" s="594">
        <f>SUM(E334:E335)</f>
        <v>20839</v>
      </c>
      <c r="F336" s="617">
        <f>SUM(F334:F335)</f>
        <v>15000</v>
      </c>
      <c r="G336" s="744">
        <f>SUM(G334:G335)</f>
        <v>22000</v>
      </c>
      <c r="H336" s="764">
        <f>SUM(H334:H335)</f>
        <v>22000</v>
      </c>
      <c r="I336" s="15" t="e">
        <f>SUM(I334:I335)</f>
        <v>#REF!</v>
      </c>
      <c r="J336" s="9" t="s">
        <v>608</v>
      </c>
    </row>
    <row r="337" spans="1:11" ht="5.65" customHeight="1" x14ac:dyDescent="0.2">
      <c r="A337" s="71"/>
      <c r="B337" s="730"/>
      <c r="C337" s="805"/>
      <c r="E337" s="593"/>
      <c r="F337" s="616"/>
      <c r="G337" s="743"/>
      <c r="H337" s="763"/>
      <c r="I337" s="13"/>
    </row>
    <row r="338" spans="1:11" x14ac:dyDescent="0.2">
      <c r="A338" s="71"/>
      <c r="B338" s="783" t="s">
        <v>960</v>
      </c>
      <c r="C338" s="828" t="s">
        <v>961</v>
      </c>
      <c r="D338" s="9" t="s">
        <v>709</v>
      </c>
      <c r="E338" s="593">
        <v>7053</v>
      </c>
      <c r="F338" s="616">
        <v>7053</v>
      </c>
      <c r="G338" s="743">
        <v>7053</v>
      </c>
      <c r="H338" s="763">
        <v>7053</v>
      </c>
      <c r="I338" s="13" t="e">
        <f>+#REF!-#REF!</f>
        <v>#REF!</v>
      </c>
    </row>
    <row r="339" spans="1:11" x14ac:dyDescent="0.2">
      <c r="A339" s="71"/>
      <c r="B339" s="783" t="s">
        <v>960</v>
      </c>
      <c r="C339" s="828" t="s">
        <v>959</v>
      </c>
      <c r="D339" s="9" t="s">
        <v>710</v>
      </c>
      <c r="E339" s="593">
        <v>0</v>
      </c>
      <c r="F339" s="616">
        <v>0</v>
      </c>
      <c r="G339" s="743">
        <v>0</v>
      </c>
      <c r="H339" s="763">
        <v>0</v>
      </c>
      <c r="I339" s="13" t="e">
        <f>+#REF!-#REF!</f>
        <v>#REF!</v>
      </c>
    </row>
    <row r="340" spans="1:11" x14ac:dyDescent="0.2">
      <c r="A340" s="71"/>
      <c r="B340" s="783" t="s">
        <v>960</v>
      </c>
      <c r="C340" s="828" t="s">
        <v>962</v>
      </c>
      <c r="D340" s="9" t="s">
        <v>279</v>
      </c>
      <c r="E340" s="593">
        <v>0</v>
      </c>
      <c r="F340" s="616">
        <v>0</v>
      </c>
      <c r="G340" s="743">
        <v>0</v>
      </c>
      <c r="H340" s="763">
        <v>0</v>
      </c>
      <c r="I340" s="13" t="e">
        <f>+#REF!-#REF!</f>
        <v>#REF!</v>
      </c>
    </row>
    <row r="341" spans="1:11" x14ac:dyDescent="0.2">
      <c r="A341" s="71"/>
      <c r="B341" s="783" t="s">
        <v>960</v>
      </c>
      <c r="C341" s="828">
        <v>2820</v>
      </c>
      <c r="D341" s="9" t="s">
        <v>280</v>
      </c>
      <c r="E341" s="593">
        <v>2187</v>
      </c>
      <c r="F341" s="616">
        <v>2116</v>
      </c>
      <c r="G341" s="743">
        <v>2187</v>
      </c>
      <c r="H341" s="763">
        <v>2187</v>
      </c>
      <c r="I341" s="13" t="e">
        <f>+#REF!-#REF!</f>
        <v>#REF!</v>
      </c>
    </row>
    <row r="342" spans="1:11" x14ac:dyDescent="0.2">
      <c r="A342" s="71"/>
      <c r="B342" s="783" t="s">
        <v>960</v>
      </c>
      <c r="C342" s="828" t="s">
        <v>963</v>
      </c>
      <c r="D342" s="9" t="s">
        <v>440</v>
      </c>
      <c r="E342" s="593">
        <v>5385</v>
      </c>
      <c r="F342" s="616">
        <v>1642</v>
      </c>
      <c r="G342" s="743">
        <v>1642</v>
      </c>
      <c r="H342" s="763">
        <v>1642</v>
      </c>
      <c r="I342" s="13" t="e">
        <f>+#REF!-#REF!</f>
        <v>#REF!</v>
      </c>
    </row>
    <row r="343" spans="1:11" x14ac:dyDescent="0.2">
      <c r="A343" s="71"/>
      <c r="B343" s="783" t="s">
        <v>960</v>
      </c>
      <c r="C343" s="828">
        <v>2830</v>
      </c>
      <c r="D343" s="9" t="s">
        <v>155</v>
      </c>
      <c r="E343" s="593">
        <v>540</v>
      </c>
      <c r="F343" s="616">
        <v>540</v>
      </c>
      <c r="G343" s="743">
        <v>540</v>
      </c>
      <c r="H343" s="763">
        <v>540</v>
      </c>
      <c r="I343" s="13" t="e">
        <f>+#REF!-#REF!</f>
        <v>#REF!</v>
      </c>
    </row>
    <row r="344" spans="1:11" x14ac:dyDescent="0.2">
      <c r="A344" s="71"/>
      <c r="B344" s="783" t="s">
        <v>960</v>
      </c>
      <c r="C344" s="828" t="s">
        <v>966</v>
      </c>
      <c r="D344" t="s">
        <v>31</v>
      </c>
      <c r="E344" s="593">
        <v>0</v>
      </c>
      <c r="F344" s="616">
        <v>0</v>
      </c>
      <c r="G344" s="743">
        <v>5000</v>
      </c>
      <c r="H344" s="763">
        <v>5000</v>
      </c>
      <c r="I344" s="13" t="e">
        <f>+#REF!-#REF!</f>
        <v>#REF!</v>
      </c>
    </row>
    <row r="345" spans="1:11" x14ac:dyDescent="0.2">
      <c r="A345" s="71"/>
      <c r="B345" s="783" t="s">
        <v>960</v>
      </c>
      <c r="C345" s="828" t="s">
        <v>965</v>
      </c>
      <c r="D345" s="9" t="s">
        <v>316</v>
      </c>
      <c r="E345" s="593">
        <v>0</v>
      </c>
      <c r="F345" s="616">
        <v>0</v>
      </c>
      <c r="G345" s="743">
        <v>0</v>
      </c>
      <c r="H345" s="763">
        <v>0</v>
      </c>
      <c r="I345" s="13" t="e">
        <f>+#REF!-#REF!</f>
        <v>#REF!</v>
      </c>
    </row>
    <row r="346" spans="1:11" x14ac:dyDescent="0.2">
      <c r="A346" s="71"/>
      <c r="B346" s="783" t="s">
        <v>960</v>
      </c>
      <c r="C346" s="828" t="s">
        <v>964</v>
      </c>
      <c r="D346" s="9" t="s">
        <v>317</v>
      </c>
      <c r="E346" s="593">
        <v>675</v>
      </c>
      <c r="F346" s="616">
        <v>500</v>
      </c>
      <c r="G346" s="743">
        <v>500</v>
      </c>
      <c r="H346" s="763">
        <v>500</v>
      </c>
      <c r="I346" s="13" t="e">
        <f>+#REF!-#REF!</f>
        <v>#REF!</v>
      </c>
    </row>
    <row r="347" spans="1:11" x14ac:dyDescent="0.2">
      <c r="B347" s="797" t="s">
        <v>22</v>
      </c>
      <c r="C347" s="779"/>
      <c r="D347" s="252"/>
      <c r="E347" s="594">
        <f>SUM(E338:E346)</f>
        <v>15840</v>
      </c>
      <c r="F347" s="617">
        <f>SUM(F338:F346)</f>
        <v>11851</v>
      </c>
      <c r="G347" s="744">
        <f>SUM(G338:G346)</f>
        <v>16922</v>
      </c>
      <c r="H347" s="764">
        <f>SUM(H338:H346)</f>
        <v>16922</v>
      </c>
      <c r="I347" s="15" t="e">
        <f>SUM(I338:I346)</f>
        <v>#REF!</v>
      </c>
      <c r="K347" s="9" t="s">
        <v>562</v>
      </c>
    </row>
    <row r="348" spans="1:11" ht="6.4" customHeight="1" x14ac:dyDescent="0.2">
      <c r="A348" s="76"/>
      <c r="B348" s="798"/>
      <c r="C348" s="780"/>
      <c r="D348" s="5"/>
      <c r="E348" s="593"/>
      <c r="F348" s="616"/>
      <c r="G348" s="743"/>
      <c r="H348" s="763"/>
      <c r="I348" s="13"/>
    </row>
    <row r="349" spans="1:11" x14ac:dyDescent="0.2">
      <c r="A349" s="71"/>
      <c r="B349" s="783" t="s">
        <v>968</v>
      </c>
      <c r="C349" s="828" t="s">
        <v>970</v>
      </c>
      <c r="D349" s="9" t="s">
        <v>318</v>
      </c>
      <c r="E349" s="593">
        <v>0</v>
      </c>
      <c r="F349" s="616">
        <v>0</v>
      </c>
      <c r="G349" s="743">
        <v>0</v>
      </c>
      <c r="H349" s="763">
        <v>0</v>
      </c>
      <c r="I349" s="13" t="e">
        <f>+#REF!-#REF!</f>
        <v>#REF!</v>
      </c>
    </row>
    <row r="350" spans="1:11" x14ac:dyDescent="0.2">
      <c r="A350" s="71"/>
      <c r="B350" s="783" t="s">
        <v>968</v>
      </c>
      <c r="C350" s="828" t="s">
        <v>969</v>
      </c>
      <c r="D350" s="9" t="s">
        <v>155</v>
      </c>
      <c r="E350" s="593">
        <v>0</v>
      </c>
      <c r="F350" s="616">
        <v>0</v>
      </c>
      <c r="G350" s="743">
        <v>0</v>
      </c>
      <c r="H350" s="763">
        <v>0</v>
      </c>
      <c r="I350" s="13" t="e">
        <f>+#REF!-#REF!</f>
        <v>#REF!</v>
      </c>
    </row>
    <row r="351" spans="1:11" x14ac:dyDescent="0.2">
      <c r="A351" s="71"/>
      <c r="B351" s="783" t="s">
        <v>968</v>
      </c>
      <c r="C351" s="828" t="s">
        <v>967</v>
      </c>
      <c r="D351" t="s">
        <v>32</v>
      </c>
      <c r="E351" s="593">
        <v>5000</v>
      </c>
      <c r="F351" s="616">
        <v>5000</v>
      </c>
      <c r="G351" s="743">
        <v>5000</v>
      </c>
      <c r="H351" s="763">
        <v>5000</v>
      </c>
      <c r="I351" s="13" t="e">
        <f>+#REF!-#REF!</f>
        <v>#REF!</v>
      </c>
    </row>
    <row r="352" spans="1:11" hidden="1" x14ac:dyDescent="0.2">
      <c r="A352" s="71"/>
      <c r="B352" s="783" t="s">
        <v>1461</v>
      </c>
      <c r="C352" s="828" t="s">
        <v>1012</v>
      </c>
      <c r="D352" s="9" t="s">
        <v>319</v>
      </c>
      <c r="E352" s="593">
        <v>0</v>
      </c>
      <c r="F352" s="616">
        <v>0</v>
      </c>
      <c r="G352" s="743">
        <v>0</v>
      </c>
      <c r="H352" s="763">
        <v>0</v>
      </c>
      <c r="I352" s="13" t="e">
        <f>+#REF!-#REF!</f>
        <v>#REF!</v>
      </c>
    </row>
    <row r="353" spans="1:11" s="760" customFormat="1" x14ac:dyDescent="0.2">
      <c r="A353" s="71"/>
      <c r="B353" s="783">
        <v>1100231000</v>
      </c>
      <c r="C353" s="828">
        <v>3220.1039999999998</v>
      </c>
      <c r="D353" s="519" t="s">
        <v>1462</v>
      </c>
      <c r="E353" s="593"/>
      <c r="F353" s="616"/>
      <c r="G353" s="743"/>
      <c r="H353" s="763">
        <v>1500</v>
      </c>
      <c r="I353" s="13"/>
    </row>
    <row r="354" spans="1:11" x14ac:dyDescent="0.2">
      <c r="A354" s="71"/>
      <c r="B354" s="783" t="s">
        <v>968</v>
      </c>
      <c r="C354" s="828" t="s">
        <v>972</v>
      </c>
      <c r="D354" s="9" t="s">
        <v>320</v>
      </c>
      <c r="E354" s="593">
        <v>0</v>
      </c>
      <c r="F354" s="616">
        <v>250</v>
      </c>
      <c r="G354" s="743">
        <v>250</v>
      </c>
      <c r="H354" s="763">
        <v>250</v>
      </c>
      <c r="I354" s="13" t="e">
        <f>+#REF!-#REF!</f>
        <v>#REF!</v>
      </c>
    </row>
    <row r="355" spans="1:11" x14ac:dyDescent="0.2">
      <c r="A355" s="71"/>
      <c r="B355" s="783" t="s">
        <v>968</v>
      </c>
      <c r="C355" s="828" t="s">
        <v>971</v>
      </c>
      <c r="D355" s="9" t="s">
        <v>321</v>
      </c>
      <c r="E355" s="593">
        <v>1424</v>
      </c>
      <c r="F355" s="616">
        <v>1500</v>
      </c>
      <c r="G355" s="743">
        <v>1500</v>
      </c>
      <c r="H355" s="763">
        <v>1500</v>
      </c>
      <c r="I355" s="13" t="e">
        <f>+#REF!-#REF!</f>
        <v>#REF!</v>
      </c>
    </row>
    <row r="356" spans="1:11" x14ac:dyDescent="0.2">
      <c r="B356" s="797" t="s">
        <v>23</v>
      </c>
      <c r="C356" s="779"/>
      <c r="D356" s="252"/>
      <c r="E356" s="594">
        <f>SUM(E349:E355)</f>
        <v>6424</v>
      </c>
      <c r="F356" s="617">
        <f>SUM(F349:F355)</f>
        <v>6750</v>
      </c>
      <c r="G356" s="744">
        <f>SUM(G349:G355)</f>
        <v>6750</v>
      </c>
      <c r="H356" s="764">
        <f>SUM(H349:H355)</f>
        <v>8250</v>
      </c>
      <c r="I356" s="15" t="e">
        <f>SUM(I349:I355)</f>
        <v>#REF!</v>
      </c>
    </row>
    <row r="357" spans="1:11" ht="7.35" customHeight="1" x14ac:dyDescent="0.2">
      <c r="A357" s="76"/>
      <c r="B357" s="798"/>
      <c r="C357" s="780"/>
      <c r="D357" s="5"/>
      <c r="E357" s="593"/>
      <c r="F357" s="616"/>
      <c r="G357" s="743"/>
      <c r="H357" s="763"/>
      <c r="I357" s="13"/>
    </row>
    <row r="358" spans="1:11" x14ac:dyDescent="0.2">
      <c r="A358" s="71"/>
      <c r="B358" s="783" t="s">
        <v>974</v>
      </c>
      <c r="C358" s="828" t="s">
        <v>980</v>
      </c>
      <c r="D358" s="9" t="s">
        <v>322</v>
      </c>
      <c r="E358" s="593">
        <v>45000</v>
      </c>
      <c r="F358" s="616">
        <v>47700</v>
      </c>
      <c r="G358" s="743">
        <v>53900</v>
      </c>
      <c r="H358" s="763">
        <v>54050</v>
      </c>
      <c r="I358" s="13" t="e">
        <f>+#REF!-#REF!</f>
        <v>#REF!</v>
      </c>
    </row>
    <row r="359" spans="1:11" s="760" customFormat="1" x14ac:dyDescent="0.2">
      <c r="A359" s="71"/>
      <c r="B359" s="783">
        <v>1100232000</v>
      </c>
      <c r="C359" s="828">
        <v>1110.1010000000001</v>
      </c>
      <c r="D359" s="519" t="s">
        <v>1463</v>
      </c>
      <c r="E359" s="593"/>
      <c r="F359" s="616"/>
      <c r="G359" s="743"/>
      <c r="H359" s="763">
        <v>200</v>
      </c>
      <c r="I359" s="13"/>
    </row>
    <row r="360" spans="1:11" x14ac:dyDescent="0.2">
      <c r="A360" s="71"/>
      <c r="B360" s="783" t="s">
        <v>974</v>
      </c>
      <c r="C360" s="828" t="s">
        <v>979</v>
      </c>
      <c r="D360" s="9" t="s">
        <v>659</v>
      </c>
      <c r="E360" s="593">
        <v>34547</v>
      </c>
      <c r="F360" s="616">
        <v>37043</v>
      </c>
      <c r="G360" s="743">
        <v>37043</v>
      </c>
      <c r="H360" s="763">
        <v>37193</v>
      </c>
      <c r="I360" s="13"/>
    </row>
    <row r="361" spans="1:11" x14ac:dyDescent="0.2">
      <c r="A361" s="71"/>
      <c r="B361" s="783" t="s">
        <v>974</v>
      </c>
      <c r="C361" s="828" t="s">
        <v>978</v>
      </c>
      <c r="D361" s="9" t="s">
        <v>323</v>
      </c>
      <c r="E361" s="593">
        <v>64786</v>
      </c>
      <c r="F361" s="616">
        <v>68620</v>
      </c>
      <c r="G361" s="743">
        <v>68620</v>
      </c>
      <c r="H361" s="763">
        <v>68777</v>
      </c>
      <c r="I361" s="13" t="e">
        <f>+#REF!-#REF!</f>
        <v>#REF!</v>
      </c>
      <c r="J361" s="9" t="s">
        <v>666</v>
      </c>
      <c r="K361" s="501"/>
    </row>
    <row r="362" spans="1:11" x14ac:dyDescent="0.2">
      <c r="A362" s="71"/>
      <c r="B362" s="783" t="s">
        <v>974</v>
      </c>
      <c r="C362" s="828" t="s">
        <v>977</v>
      </c>
      <c r="D362" s="9" t="s">
        <v>110</v>
      </c>
      <c r="E362" s="593">
        <v>5602</v>
      </c>
      <c r="F362" s="616">
        <v>5602</v>
      </c>
      <c r="G362" s="743">
        <v>5842</v>
      </c>
      <c r="H362" s="763">
        <v>5842</v>
      </c>
      <c r="I362" s="13" t="e">
        <f>+#REF!-#REF!</f>
        <v>#REF!</v>
      </c>
      <c r="J362" s="9"/>
    </row>
    <row r="363" spans="1:11" hidden="1" x14ac:dyDescent="0.2">
      <c r="A363" s="71"/>
      <c r="B363" s="783" t="s">
        <v>974</v>
      </c>
      <c r="C363" s="828" t="s">
        <v>976</v>
      </c>
      <c r="D363" s="9" t="s">
        <v>324</v>
      </c>
      <c r="E363" s="593">
        <v>0</v>
      </c>
      <c r="F363" s="616">
        <v>0</v>
      </c>
      <c r="G363" s="743">
        <v>0</v>
      </c>
      <c r="H363" s="763">
        <v>0</v>
      </c>
      <c r="I363" s="13" t="e">
        <f>+#REF!-#REF!</f>
        <v>#REF!</v>
      </c>
    </row>
    <row r="364" spans="1:11" hidden="1" x14ac:dyDescent="0.2">
      <c r="A364" s="71"/>
      <c r="B364" s="783" t="s">
        <v>974</v>
      </c>
      <c r="C364" s="828" t="s">
        <v>975</v>
      </c>
      <c r="D364" s="9" t="s">
        <v>557</v>
      </c>
      <c r="E364" s="593">
        <v>0</v>
      </c>
      <c r="F364" s="616">
        <v>0</v>
      </c>
      <c r="G364" s="743">
        <v>0</v>
      </c>
      <c r="H364" s="763">
        <v>0</v>
      </c>
      <c r="I364" s="13" t="e">
        <f>+#REF!-#REF!</f>
        <v>#REF!</v>
      </c>
    </row>
    <row r="365" spans="1:11" x14ac:dyDescent="0.2">
      <c r="A365" s="71"/>
      <c r="B365" s="783" t="s">
        <v>974</v>
      </c>
      <c r="C365" s="828" t="s">
        <v>973</v>
      </c>
      <c r="D365" s="9" t="s">
        <v>279</v>
      </c>
      <c r="E365" s="593">
        <v>35502</v>
      </c>
      <c r="F365" s="616">
        <v>38329</v>
      </c>
      <c r="G365" s="743">
        <v>41714</v>
      </c>
      <c r="H365" s="763">
        <v>43383</v>
      </c>
      <c r="I365" s="13" t="e">
        <f>+#REF!-#REF!</f>
        <v>#REF!</v>
      </c>
      <c r="J365" s="9"/>
    </row>
    <row r="366" spans="1:11" x14ac:dyDescent="0.2">
      <c r="A366" s="71"/>
      <c r="B366" s="783" t="s">
        <v>974</v>
      </c>
      <c r="C366" s="828" t="s">
        <v>903</v>
      </c>
      <c r="D366" s="9" t="s">
        <v>280</v>
      </c>
      <c r="E366" s="593">
        <v>44981</v>
      </c>
      <c r="F366" s="616">
        <v>47690</v>
      </c>
      <c r="G366" s="743">
        <v>51276</v>
      </c>
      <c r="H366" s="763">
        <v>51418</v>
      </c>
      <c r="I366" s="13" t="e">
        <f>+#REF!-#REF!</f>
        <v>#REF!</v>
      </c>
    </row>
    <row r="367" spans="1:11" x14ac:dyDescent="0.2">
      <c r="A367" s="71"/>
      <c r="B367" s="783" t="s">
        <v>974</v>
      </c>
      <c r="C367" s="828" t="s">
        <v>981</v>
      </c>
      <c r="D367" s="9" t="s">
        <v>440</v>
      </c>
      <c r="E367" s="593">
        <v>43077</v>
      </c>
      <c r="F367" s="616">
        <v>34900</v>
      </c>
      <c r="G367" s="743">
        <v>34900</v>
      </c>
      <c r="H367" s="763">
        <v>34900</v>
      </c>
      <c r="I367" s="13" t="e">
        <f>+#REF!-#REF!</f>
        <v>#REF!</v>
      </c>
    </row>
    <row r="368" spans="1:11" x14ac:dyDescent="0.2">
      <c r="A368" s="71"/>
      <c r="B368" s="783" t="s">
        <v>974</v>
      </c>
      <c r="C368" s="828" t="s">
        <v>904</v>
      </c>
      <c r="D368" s="9" t="s">
        <v>155</v>
      </c>
      <c r="E368" s="593">
        <v>11470</v>
      </c>
      <c r="F368" s="616">
        <v>12161</v>
      </c>
      <c r="G368" s="743">
        <v>12654</v>
      </c>
      <c r="H368" s="763">
        <v>12688</v>
      </c>
      <c r="I368" s="13" t="e">
        <f>+#REF!-#REF!</f>
        <v>#REF!</v>
      </c>
    </row>
    <row r="369" spans="1:10" hidden="1" x14ac:dyDescent="0.2">
      <c r="A369" s="71"/>
      <c r="B369" s="783" t="s">
        <v>974</v>
      </c>
      <c r="C369" s="828" t="s">
        <v>984</v>
      </c>
      <c r="D369" s="9" t="s">
        <v>468</v>
      </c>
      <c r="E369" s="593">
        <v>0</v>
      </c>
      <c r="F369" s="616">
        <v>0</v>
      </c>
      <c r="G369" s="743">
        <v>0</v>
      </c>
      <c r="H369" s="763">
        <v>0</v>
      </c>
      <c r="I369" s="13" t="e">
        <f>+#REF!-#REF!</f>
        <v>#REF!</v>
      </c>
    </row>
    <row r="370" spans="1:10" hidden="1" x14ac:dyDescent="0.2">
      <c r="A370" s="71"/>
      <c r="B370" s="783" t="s">
        <v>974</v>
      </c>
      <c r="C370" s="828" t="s">
        <v>983</v>
      </c>
      <c r="D370" s="9" t="s">
        <v>469</v>
      </c>
      <c r="E370" s="593">
        <v>0</v>
      </c>
      <c r="F370" s="616">
        <v>0</v>
      </c>
      <c r="G370" s="743">
        <v>0</v>
      </c>
      <c r="H370" s="763">
        <v>0</v>
      </c>
      <c r="I370" s="13" t="e">
        <f>+#REF!-#REF!</f>
        <v>#REF!</v>
      </c>
    </row>
    <row r="371" spans="1:10" hidden="1" x14ac:dyDescent="0.2">
      <c r="A371" s="71"/>
      <c r="B371" s="783" t="s">
        <v>974</v>
      </c>
      <c r="C371" s="828" t="s">
        <v>982</v>
      </c>
      <c r="D371" t="s">
        <v>665</v>
      </c>
      <c r="E371" s="593">
        <v>0</v>
      </c>
      <c r="F371" s="616">
        <v>0</v>
      </c>
      <c r="G371" s="743">
        <v>0</v>
      </c>
      <c r="H371" s="763">
        <v>0</v>
      </c>
      <c r="I371" s="13" t="e">
        <f>+#REF!-#REF!</f>
        <v>#REF!</v>
      </c>
    </row>
    <row r="372" spans="1:10" hidden="1" x14ac:dyDescent="0.2">
      <c r="A372" s="71"/>
      <c r="B372" s="783" t="s">
        <v>974</v>
      </c>
      <c r="C372" s="828" t="s">
        <v>986</v>
      </c>
      <c r="D372" s="9" t="s">
        <v>470</v>
      </c>
      <c r="E372" s="593">
        <v>0</v>
      </c>
      <c r="F372" s="616">
        <v>0</v>
      </c>
      <c r="G372" s="743">
        <v>0</v>
      </c>
      <c r="H372" s="763">
        <v>0</v>
      </c>
      <c r="I372" s="13" t="e">
        <f>+#REF!-#REF!</f>
        <v>#REF!</v>
      </c>
    </row>
    <row r="373" spans="1:10" x14ac:dyDescent="0.2">
      <c r="A373" s="71"/>
      <c r="B373" s="783" t="s">
        <v>974</v>
      </c>
      <c r="C373" s="828" t="s">
        <v>985</v>
      </c>
      <c r="D373" s="9" t="s">
        <v>325</v>
      </c>
      <c r="E373" s="593">
        <v>13803</v>
      </c>
      <c r="F373" s="616">
        <v>9000</v>
      </c>
      <c r="G373" s="743">
        <v>9000</v>
      </c>
      <c r="H373" s="763">
        <v>10170</v>
      </c>
      <c r="I373" s="13" t="e">
        <f>+#REF!-#REF!</f>
        <v>#REF!</v>
      </c>
    </row>
    <row r="374" spans="1:10" x14ac:dyDescent="0.2">
      <c r="A374" s="71"/>
      <c r="B374" s="783" t="s">
        <v>974</v>
      </c>
      <c r="C374" s="828" t="s">
        <v>988</v>
      </c>
      <c r="D374" s="9" t="s">
        <v>327</v>
      </c>
      <c r="E374" s="593">
        <v>8000</v>
      </c>
      <c r="F374" s="616">
        <v>14000</v>
      </c>
      <c r="G374" s="743">
        <v>14000</v>
      </c>
      <c r="H374" s="763">
        <v>14000</v>
      </c>
      <c r="I374" s="13" t="e">
        <f>+#REF!-#REF!</f>
        <v>#REF!</v>
      </c>
    </row>
    <row r="375" spans="1:10" x14ac:dyDescent="0.2">
      <c r="A375" s="71"/>
      <c r="B375" s="783" t="s">
        <v>974</v>
      </c>
      <c r="C375" s="828" t="s">
        <v>987</v>
      </c>
      <c r="D375" s="9" t="s">
        <v>326</v>
      </c>
      <c r="E375" s="593">
        <v>0</v>
      </c>
      <c r="F375" s="616">
        <v>500</v>
      </c>
      <c r="G375" s="743">
        <v>2000</v>
      </c>
      <c r="H375" s="763">
        <v>500</v>
      </c>
      <c r="I375" s="13" t="e">
        <f>+#REF!-#REF!</f>
        <v>#REF!</v>
      </c>
      <c r="J375" s="9" t="s">
        <v>472</v>
      </c>
    </row>
    <row r="376" spans="1:10" x14ac:dyDescent="0.2">
      <c r="A376" s="71"/>
      <c r="B376" s="783" t="s">
        <v>974</v>
      </c>
      <c r="C376" s="828" t="s">
        <v>993</v>
      </c>
      <c r="D376" s="9" t="s">
        <v>668</v>
      </c>
      <c r="E376" s="593">
        <v>4950</v>
      </c>
      <c r="F376" s="616">
        <v>5200</v>
      </c>
      <c r="G376" s="743">
        <v>5200</v>
      </c>
      <c r="H376" s="763">
        <v>5000</v>
      </c>
      <c r="I376" s="13" t="e">
        <f>+#REF!-#REF!</f>
        <v>#REF!</v>
      </c>
    </row>
    <row r="377" spans="1:10" x14ac:dyDescent="0.2">
      <c r="A377" s="71"/>
      <c r="B377" s="783" t="s">
        <v>974</v>
      </c>
      <c r="C377" s="828" t="s">
        <v>992</v>
      </c>
      <c r="D377" s="9" t="s">
        <v>328</v>
      </c>
      <c r="E377" s="593">
        <v>0</v>
      </c>
      <c r="F377" s="616">
        <v>1500</v>
      </c>
      <c r="G377" s="743">
        <v>1500</v>
      </c>
      <c r="H377" s="763">
        <v>1500</v>
      </c>
      <c r="I377" s="13" t="e">
        <f>+#REF!-#REF!</f>
        <v>#REF!</v>
      </c>
    </row>
    <row r="378" spans="1:10" x14ac:dyDescent="0.2">
      <c r="A378" s="71"/>
      <c r="B378" s="783" t="s">
        <v>974</v>
      </c>
      <c r="C378" s="828" t="s">
        <v>991</v>
      </c>
      <c r="D378" s="9" t="s">
        <v>329</v>
      </c>
      <c r="E378" s="593">
        <v>300</v>
      </c>
      <c r="F378" s="616">
        <v>1000</v>
      </c>
      <c r="G378" s="743">
        <v>1000</v>
      </c>
      <c r="H378" s="763">
        <v>1000</v>
      </c>
      <c r="I378" s="13" t="e">
        <f>+#REF!-#REF!</f>
        <v>#REF!</v>
      </c>
    </row>
    <row r="379" spans="1:10" x14ac:dyDescent="0.2">
      <c r="A379" s="71"/>
      <c r="B379" s="783" t="s">
        <v>974</v>
      </c>
      <c r="C379" s="828" t="s">
        <v>990</v>
      </c>
      <c r="D379" s="9" t="s">
        <v>334</v>
      </c>
      <c r="E379" s="593">
        <v>5000</v>
      </c>
      <c r="F379" s="616">
        <v>7000</v>
      </c>
      <c r="G379" s="743">
        <v>5000</v>
      </c>
      <c r="H379" s="763">
        <v>5000</v>
      </c>
      <c r="I379" s="13" t="e">
        <f>+#REF!-#REF!</f>
        <v>#REF!</v>
      </c>
    </row>
    <row r="380" spans="1:10" x14ac:dyDescent="0.2">
      <c r="A380" s="71"/>
      <c r="B380" s="783" t="s">
        <v>974</v>
      </c>
      <c r="C380" s="828" t="s">
        <v>989</v>
      </c>
      <c r="D380" s="9" t="s">
        <v>333</v>
      </c>
      <c r="E380" s="593">
        <v>0</v>
      </c>
      <c r="F380" s="616">
        <v>100</v>
      </c>
      <c r="G380" s="743">
        <v>0</v>
      </c>
      <c r="H380" s="763">
        <v>0</v>
      </c>
      <c r="I380" s="13" t="e">
        <f>+#REF!-#REF!</f>
        <v>#REF!</v>
      </c>
    </row>
    <row r="381" spans="1:10" x14ac:dyDescent="0.2">
      <c r="A381" s="71"/>
      <c r="B381" s="783" t="s">
        <v>974</v>
      </c>
      <c r="C381" s="828" t="s">
        <v>995</v>
      </c>
      <c r="D381" s="9" t="s">
        <v>331</v>
      </c>
      <c r="E381" s="593">
        <v>1825</v>
      </c>
      <c r="F381" s="616">
        <v>2000</v>
      </c>
      <c r="G381" s="743">
        <v>2000</v>
      </c>
      <c r="H381" s="763">
        <v>2000</v>
      </c>
      <c r="I381" s="13" t="e">
        <f>+#REF!-#REF!</f>
        <v>#REF!</v>
      </c>
    </row>
    <row r="382" spans="1:10" x14ac:dyDescent="0.2">
      <c r="A382" s="71"/>
      <c r="B382" s="783" t="s">
        <v>974</v>
      </c>
      <c r="C382" s="828" t="s">
        <v>994</v>
      </c>
      <c r="D382" s="9" t="s">
        <v>332</v>
      </c>
      <c r="E382" s="593">
        <v>2500</v>
      </c>
      <c r="F382" s="616">
        <v>2500</v>
      </c>
      <c r="G382" s="743">
        <v>2500</v>
      </c>
      <c r="H382" s="763">
        <v>3025</v>
      </c>
      <c r="I382" s="13" t="e">
        <f>+#REF!-#REF!</f>
        <v>#REF!</v>
      </c>
    </row>
    <row r="383" spans="1:10" x14ac:dyDescent="0.2">
      <c r="A383" s="71"/>
      <c r="B383" s="783" t="s">
        <v>974</v>
      </c>
      <c r="C383" s="828" t="s">
        <v>996</v>
      </c>
      <c r="D383" s="9" t="s">
        <v>330</v>
      </c>
      <c r="E383" s="593">
        <v>1439</v>
      </c>
      <c r="F383" s="616">
        <v>1500</v>
      </c>
      <c r="G383" s="743">
        <v>1500</v>
      </c>
      <c r="H383" s="763">
        <v>2500</v>
      </c>
      <c r="I383" s="13" t="e">
        <f>+#REF!-#REF!</f>
        <v>#REF!</v>
      </c>
    </row>
    <row r="384" spans="1:10" x14ac:dyDescent="0.2">
      <c r="B384" s="797" t="s">
        <v>24</v>
      </c>
      <c r="C384" s="779"/>
      <c r="D384" s="252"/>
      <c r="E384" s="594">
        <f>SUM(E358:E383)</f>
        <v>322782</v>
      </c>
      <c r="F384" s="617">
        <f>SUM(F358:F383)</f>
        <v>336345</v>
      </c>
      <c r="G384" s="744">
        <f>SUM(G358:G383)</f>
        <v>349649</v>
      </c>
      <c r="H384" s="764">
        <f>SUM(H358:H383)</f>
        <v>353146</v>
      </c>
      <c r="I384" s="15" t="e">
        <f>SUM(I358:I383)</f>
        <v>#REF!</v>
      </c>
    </row>
    <row r="385" spans="1:13" ht="8.1" customHeight="1" x14ac:dyDescent="0.2">
      <c r="A385" s="71"/>
      <c r="B385" s="730"/>
      <c r="C385" s="805"/>
      <c r="E385" s="593"/>
      <c r="F385" s="616"/>
      <c r="G385" s="743"/>
      <c r="H385" s="763"/>
      <c r="I385" s="13"/>
    </row>
    <row r="386" spans="1:13" x14ac:dyDescent="0.2">
      <c r="A386" s="71"/>
      <c r="B386" s="783" t="s">
        <v>1113</v>
      </c>
      <c r="C386" s="828" t="s">
        <v>1114</v>
      </c>
      <c r="D386" s="9" t="s">
        <v>335</v>
      </c>
      <c r="E386" s="593">
        <v>45000</v>
      </c>
      <c r="F386" s="616">
        <v>47700</v>
      </c>
      <c r="G386" s="743">
        <v>53900</v>
      </c>
      <c r="H386" s="763">
        <v>54050</v>
      </c>
      <c r="I386" s="13" t="e">
        <f>+#REF!-#REF!</f>
        <v>#REF!</v>
      </c>
    </row>
    <row r="387" spans="1:13" x14ac:dyDescent="0.2">
      <c r="A387" s="71"/>
      <c r="B387" s="783" t="s">
        <v>1113</v>
      </c>
      <c r="C387" s="828" t="s">
        <v>1115</v>
      </c>
      <c r="D387" s="9" t="s">
        <v>347</v>
      </c>
      <c r="E387" s="593">
        <v>34079</v>
      </c>
      <c r="F387" s="616">
        <v>34419</v>
      </c>
      <c r="G387" s="743">
        <v>35519</v>
      </c>
      <c r="H387" s="763">
        <v>35669</v>
      </c>
      <c r="I387" s="13" t="e">
        <f>+#REF!-#REF!</f>
        <v>#REF!</v>
      </c>
    </row>
    <row r="388" spans="1:13" x14ac:dyDescent="0.2">
      <c r="A388" s="71"/>
      <c r="B388" s="783" t="s">
        <v>1113</v>
      </c>
      <c r="C388" s="828" t="s">
        <v>1116</v>
      </c>
      <c r="D388" s="9" t="s">
        <v>336</v>
      </c>
      <c r="E388" s="593">
        <v>5000</v>
      </c>
      <c r="F388" s="616">
        <v>5000</v>
      </c>
      <c r="G388" s="743">
        <v>6000</v>
      </c>
      <c r="H388" s="763">
        <v>6000</v>
      </c>
      <c r="I388" s="13" t="e">
        <f>+#REF!-#REF!</f>
        <v>#REF!</v>
      </c>
    </row>
    <row r="389" spans="1:13" hidden="1" x14ac:dyDescent="0.2">
      <c r="A389" s="71"/>
      <c r="B389" s="783" t="s">
        <v>1113</v>
      </c>
      <c r="C389" s="828" t="s">
        <v>1117</v>
      </c>
      <c r="D389" s="9" t="s">
        <v>337</v>
      </c>
      <c r="E389" s="593">
        <v>0</v>
      </c>
      <c r="F389" s="616">
        <v>0</v>
      </c>
      <c r="G389" s="743">
        <v>0</v>
      </c>
      <c r="H389" s="763">
        <v>0</v>
      </c>
      <c r="I389" s="13" t="e">
        <f>+#REF!-#REF!</f>
        <v>#REF!</v>
      </c>
    </row>
    <row r="390" spans="1:13" x14ac:dyDescent="0.2">
      <c r="A390" s="71"/>
      <c r="B390" s="783" t="s">
        <v>1113</v>
      </c>
      <c r="C390" s="828" t="s">
        <v>1118</v>
      </c>
      <c r="D390" s="9" t="s">
        <v>344</v>
      </c>
      <c r="E390" s="593">
        <v>1750</v>
      </c>
      <c r="F390" s="616">
        <v>1700</v>
      </c>
      <c r="G390" s="743">
        <v>1700</v>
      </c>
      <c r="H390" s="763">
        <v>1700</v>
      </c>
      <c r="I390" s="13" t="e">
        <f>+#REF!-#REF!</f>
        <v>#REF!</v>
      </c>
    </row>
    <row r="391" spans="1:13" x14ac:dyDescent="0.2">
      <c r="A391" s="71"/>
      <c r="B391" s="783" t="s">
        <v>1113</v>
      </c>
      <c r="C391" s="828" t="s">
        <v>1119</v>
      </c>
      <c r="D391" s="9" t="s">
        <v>429</v>
      </c>
      <c r="E391" s="593">
        <v>16568</v>
      </c>
      <c r="F391" s="616">
        <v>17065</v>
      </c>
      <c r="G391" s="743">
        <v>16802</v>
      </c>
      <c r="H391" s="763">
        <v>16802</v>
      </c>
      <c r="I391" s="13" t="e">
        <f>+#REF!-#REF!</f>
        <v>#REF!</v>
      </c>
    </row>
    <row r="392" spans="1:13" x14ac:dyDescent="0.2">
      <c r="A392" s="71"/>
      <c r="B392" s="783" t="s">
        <v>1113</v>
      </c>
      <c r="C392" s="828" t="s">
        <v>1120</v>
      </c>
      <c r="D392" s="9" t="s">
        <v>338</v>
      </c>
      <c r="E392" s="593">
        <v>11577</v>
      </c>
      <c r="F392" s="616">
        <v>11866</v>
      </c>
      <c r="G392" s="743">
        <v>11712</v>
      </c>
      <c r="H392" s="763">
        <v>11712</v>
      </c>
      <c r="I392" s="13" t="e">
        <f>+#REF!-#REF!</f>
        <v>#REF!</v>
      </c>
      <c r="J392" s="9"/>
    </row>
    <row r="393" spans="1:13" x14ac:dyDescent="0.2">
      <c r="A393" s="71"/>
      <c r="B393" s="783" t="s">
        <v>1113</v>
      </c>
      <c r="C393" s="828" t="s">
        <v>903</v>
      </c>
      <c r="D393" s="9" t="s">
        <v>280</v>
      </c>
      <c r="E393" s="593">
        <v>25749</v>
      </c>
      <c r="F393" s="616">
        <v>26646</v>
      </c>
      <c r="G393" s="743">
        <v>30107</v>
      </c>
      <c r="H393" s="763">
        <v>30200</v>
      </c>
      <c r="I393" s="13" t="e">
        <f>+#REF!-#REF!</f>
        <v>#REF!</v>
      </c>
    </row>
    <row r="394" spans="1:13" x14ac:dyDescent="0.2">
      <c r="A394" s="71"/>
      <c r="B394" s="783" t="s">
        <v>1113</v>
      </c>
      <c r="C394" s="828" t="s">
        <v>1121</v>
      </c>
      <c r="D394" s="9" t="s">
        <v>440</v>
      </c>
      <c r="E394" s="593">
        <v>26923</v>
      </c>
      <c r="F394" s="616">
        <v>19979</v>
      </c>
      <c r="G394" s="743">
        <v>19979</v>
      </c>
      <c r="H394" s="763">
        <v>19979</v>
      </c>
      <c r="I394" s="13" t="e">
        <f>+#REF!-#REF!</f>
        <v>#REF!</v>
      </c>
    </row>
    <row r="395" spans="1:13" x14ac:dyDescent="0.2">
      <c r="A395" s="71"/>
      <c r="B395" s="783" t="s">
        <v>1113</v>
      </c>
      <c r="C395" s="828" t="s">
        <v>904</v>
      </c>
      <c r="D395" s="9" t="s">
        <v>155</v>
      </c>
      <c r="E395" s="593">
        <v>6566</v>
      </c>
      <c r="F395" s="616">
        <v>6795</v>
      </c>
      <c r="G395" s="743">
        <v>7430</v>
      </c>
      <c r="H395" s="763">
        <v>7453</v>
      </c>
      <c r="I395" s="13" t="e">
        <f>+#REF!-#REF!</f>
        <v>#REF!</v>
      </c>
    </row>
    <row r="396" spans="1:13" x14ac:dyDescent="0.2">
      <c r="A396" s="71"/>
      <c r="B396" s="783" t="s">
        <v>1113</v>
      </c>
      <c r="C396" s="828" t="s">
        <v>1122</v>
      </c>
      <c r="D396" s="9" t="s">
        <v>468</v>
      </c>
      <c r="E396" s="593">
        <v>0</v>
      </c>
      <c r="F396" s="616">
        <v>0</v>
      </c>
      <c r="G396" s="743">
        <v>0</v>
      </c>
      <c r="H396" s="763">
        <v>0</v>
      </c>
      <c r="I396" s="13" t="e">
        <f>+#REF!-#REF!</f>
        <v>#REF!</v>
      </c>
    </row>
    <row r="397" spans="1:13" x14ac:dyDescent="0.2">
      <c r="A397" s="71"/>
      <c r="B397" s="783" t="s">
        <v>1113</v>
      </c>
      <c r="C397" s="828" t="s">
        <v>1123</v>
      </c>
      <c r="D397" s="9" t="s">
        <v>563</v>
      </c>
      <c r="E397" s="593">
        <v>55</v>
      </c>
      <c r="F397" s="616">
        <v>750</v>
      </c>
      <c r="G397" s="743">
        <v>750</v>
      </c>
      <c r="H397" s="763">
        <v>500</v>
      </c>
      <c r="I397" s="13" t="e">
        <f>+#REF!-#REF!</f>
        <v>#REF!</v>
      </c>
    </row>
    <row r="398" spans="1:13" x14ac:dyDescent="0.2">
      <c r="A398" s="71"/>
      <c r="B398" s="783" t="s">
        <v>1113</v>
      </c>
      <c r="C398" s="828" t="s">
        <v>1124</v>
      </c>
      <c r="D398" s="9" t="s">
        <v>339</v>
      </c>
      <c r="E398" s="593">
        <v>200</v>
      </c>
      <c r="F398" s="616">
        <v>1000</v>
      </c>
      <c r="G398" s="743">
        <v>1000</v>
      </c>
      <c r="H398" s="763">
        <v>750</v>
      </c>
      <c r="I398" s="13" t="e">
        <f>+#REF!-#REF!</f>
        <v>#REF!</v>
      </c>
    </row>
    <row r="399" spans="1:13" x14ac:dyDescent="0.2">
      <c r="A399" s="71"/>
      <c r="B399" s="783" t="s">
        <v>1113</v>
      </c>
      <c r="C399" s="828" t="s">
        <v>1125</v>
      </c>
      <c r="D399" s="9" t="s">
        <v>340</v>
      </c>
      <c r="E399" s="593">
        <v>1125</v>
      </c>
      <c r="F399" s="616">
        <v>1000</v>
      </c>
      <c r="G399" s="743">
        <v>1000</v>
      </c>
      <c r="H399" s="763">
        <v>1000</v>
      </c>
      <c r="I399" s="13" t="e">
        <f>+#REF!-#REF!</f>
        <v>#REF!</v>
      </c>
    </row>
    <row r="400" spans="1:13" x14ac:dyDescent="0.2">
      <c r="A400" s="71"/>
      <c r="B400" s="783" t="s">
        <v>1113</v>
      </c>
      <c r="C400" s="828" t="s">
        <v>1127</v>
      </c>
      <c r="D400" s="9" t="s">
        <v>331</v>
      </c>
      <c r="E400" s="593">
        <v>900</v>
      </c>
      <c r="F400" s="616">
        <v>1000</v>
      </c>
      <c r="G400" s="743">
        <v>1000</v>
      </c>
      <c r="H400" s="763">
        <v>500</v>
      </c>
      <c r="I400" s="13" t="e">
        <f>+#REF!-#REF!</f>
        <v>#REF!</v>
      </c>
      <c r="L400" s="253"/>
      <c r="M400" s="471"/>
    </row>
    <row r="401" spans="1:21" x14ac:dyDescent="0.2">
      <c r="A401" s="71"/>
      <c r="B401" s="783" t="s">
        <v>1113</v>
      </c>
      <c r="C401" s="828" t="s">
        <v>1126</v>
      </c>
      <c r="D401" s="9" t="s">
        <v>332</v>
      </c>
      <c r="E401" s="593">
        <v>100</v>
      </c>
      <c r="F401" s="616">
        <v>250</v>
      </c>
      <c r="G401" s="743">
        <v>250</v>
      </c>
      <c r="H401" s="763">
        <v>250</v>
      </c>
      <c r="I401" s="13" t="e">
        <f>+#REF!-#REF!</f>
        <v>#REF!</v>
      </c>
      <c r="M401" s="471"/>
    </row>
    <row r="402" spans="1:21" x14ac:dyDescent="0.2">
      <c r="B402" s="797" t="s">
        <v>98</v>
      </c>
      <c r="C402" s="779"/>
      <c r="D402" s="252"/>
      <c r="E402" s="594">
        <f>SUM(E386:E401)</f>
        <v>175592</v>
      </c>
      <c r="F402" s="617">
        <f>SUM(F386:F401)</f>
        <v>175170</v>
      </c>
      <c r="G402" s="744">
        <f>SUM(G386:G401)</f>
        <v>187149</v>
      </c>
      <c r="H402" s="764">
        <f>SUM(H386:H401)</f>
        <v>186565</v>
      </c>
      <c r="I402" s="15" t="e">
        <f>SUM(I386:I401)</f>
        <v>#REF!</v>
      </c>
      <c r="L402" s="253"/>
      <c r="M402" s="471"/>
    </row>
    <row r="403" spans="1:21" x14ac:dyDescent="0.2">
      <c r="A403" s="71"/>
      <c r="B403" s="730"/>
      <c r="C403" s="805"/>
      <c r="E403" s="593"/>
      <c r="F403" s="616"/>
      <c r="G403" s="743"/>
      <c r="H403" s="763"/>
      <c r="I403" s="13"/>
      <c r="L403" s="253"/>
      <c r="M403" s="471"/>
      <c r="S403" s="789"/>
      <c r="T403" s="789"/>
      <c r="U403" s="789"/>
    </row>
    <row r="404" spans="1:21" x14ac:dyDescent="0.2">
      <c r="A404" s="71"/>
      <c r="B404" s="783" t="s">
        <v>1128</v>
      </c>
      <c r="C404" s="828" t="s">
        <v>1129</v>
      </c>
      <c r="D404" s="9" t="s">
        <v>342</v>
      </c>
      <c r="E404" s="593">
        <v>42500</v>
      </c>
      <c r="F404" s="616">
        <v>40000</v>
      </c>
      <c r="G404" s="743">
        <v>40000</v>
      </c>
      <c r="H404" s="763">
        <v>40075</v>
      </c>
      <c r="I404" s="13" t="e">
        <f>+#REF!-#REF!</f>
        <v>#REF!</v>
      </c>
      <c r="L404" s="253"/>
      <c r="S404" s="790"/>
      <c r="T404" s="789"/>
      <c r="U404" s="789"/>
    </row>
    <row r="405" spans="1:21" x14ac:dyDescent="0.2">
      <c r="A405" s="71"/>
      <c r="B405" s="783" t="s">
        <v>1208</v>
      </c>
      <c r="C405" s="828" t="s">
        <v>1209</v>
      </c>
      <c r="D405" s="9" t="s">
        <v>343</v>
      </c>
      <c r="E405" s="593">
        <v>42500</v>
      </c>
      <c r="F405" s="616">
        <v>40000</v>
      </c>
      <c r="G405" s="743">
        <v>40000</v>
      </c>
      <c r="H405" s="763">
        <v>40075</v>
      </c>
      <c r="I405" s="13" t="e">
        <f>+#REF!-#REF!</f>
        <v>#REF!</v>
      </c>
      <c r="J405" s="102" t="e">
        <f>+#REF!+#REF!+#REF!</f>
        <v>#REF!</v>
      </c>
      <c r="K405" s="102"/>
      <c r="S405" s="790"/>
      <c r="T405" s="789"/>
      <c r="U405" s="789"/>
    </row>
    <row r="406" spans="1:21" hidden="1" x14ac:dyDescent="0.2">
      <c r="A406" s="71"/>
      <c r="B406" s="807"/>
      <c r="C406" s="808"/>
      <c r="D406" s="9" t="s">
        <v>398</v>
      </c>
      <c r="E406" s="593">
        <v>0</v>
      </c>
      <c r="F406" s="616">
        <v>0</v>
      </c>
      <c r="G406" s="743">
        <v>0</v>
      </c>
      <c r="H406" s="763">
        <v>0</v>
      </c>
      <c r="I406" s="13" t="e">
        <f>+#REF!-#REF!</f>
        <v>#REF!</v>
      </c>
      <c r="S406" s="790"/>
      <c r="T406" s="789"/>
      <c r="U406" s="789"/>
    </row>
    <row r="407" spans="1:21" x14ac:dyDescent="0.2">
      <c r="A407" s="71"/>
      <c r="B407" s="783" t="s">
        <v>1128</v>
      </c>
      <c r="C407" s="828" t="s">
        <v>1131</v>
      </c>
      <c r="D407" s="9" t="s">
        <v>346</v>
      </c>
      <c r="E407" s="593">
        <v>18090</v>
      </c>
      <c r="F407" s="616">
        <v>18020</v>
      </c>
      <c r="G407" s="743">
        <v>18020</v>
      </c>
      <c r="H407" s="763">
        <v>18095</v>
      </c>
      <c r="I407" s="13" t="e">
        <f>+#REF!-#REF!</f>
        <v>#REF!</v>
      </c>
      <c r="S407" s="790"/>
      <c r="T407" s="789"/>
      <c r="U407" s="789"/>
    </row>
    <row r="408" spans="1:21" x14ac:dyDescent="0.2">
      <c r="A408" s="71"/>
      <c r="B408" s="783" t="s">
        <v>1208</v>
      </c>
      <c r="C408" s="828" t="s">
        <v>1210</v>
      </c>
      <c r="D408" s="9" t="s">
        <v>345</v>
      </c>
      <c r="E408" s="593">
        <v>18090</v>
      </c>
      <c r="F408" s="616">
        <v>18020</v>
      </c>
      <c r="G408" s="743">
        <v>18020</v>
      </c>
      <c r="H408" s="763">
        <v>18095</v>
      </c>
      <c r="I408" s="13" t="e">
        <f>+#REF!-#REF!</f>
        <v>#REF!</v>
      </c>
      <c r="S408" s="790"/>
      <c r="T408" s="789"/>
      <c r="U408" s="789"/>
    </row>
    <row r="409" spans="1:21" x14ac:dyDescent="0.2">
      <c r="A409" s="71"/>
      <c r="B409" s="783" t="s">
        <v>1208</v>
      </c>
      <c r="C409" s="828" t="s">
        <v>1211</v>
      </c>
      <c r="D409" s="9" t="s">
        <v>295</v>
      </c>
      <c r="E409" s="593">
        <v>8173</v>
      </c>
      <c r="F409" s="616">
        <v>1000</v>
      </c>
      <c r="G409" s="743">
        <v>5000</v>
      </c>
      <c r="H409" s="763">
        <v>0</v>
      </c>
      <c r="I409" s="13" t="e">
        <f>+#REF!-#REF!</f>
        <v>#REF!</v>
      </c>
      <c r="S409" s="790"/>
      <c r="T409" s="789"/>
      <c r="U409" s="789"/>
    </row>
    <row r="410" spans="1:21" hidden="1" x14ac:dyDescent="0.2">
      <c r="A410" s="71"/>
      <c r="B410" s="807"/>
      <c r="C410" s="808"/>
      <c r="D410" s="9" t="s">
        <v>348</v>
      </c>
      <c r="E410" s="593">
        <v>0</v>
      </c>
      <c r="F410" s="616">
        <v>0</v>
      </c>
      <c r="G410" s="743">
        <v>0</v>
      </c>
      <c r="H410" s="763">
        <v>0</v>
      </c>
      <c r="I410" s="13" t="e">
        <f>+#REF!-#REF!</f>
        <v>#REF!</v>
      </c>
      <c r="S410" s="790"/>
      <c r="T410" s="789"/>
      <c r="U410" s="789"/>
    </row>
    <row r="411" spans="1:21" x14ac:dyDescent="0.2">
      <c r="A411" s="71"/>
      <c r="B411" s="783" t="s">
        <v>1128</v>
      </c>
      <c r="C411" s="828" t="s">
        <v>1130</v>
      </c>
      <c r="D411" s="9" t="s">
        <v>349</v>
      </c>
      <c r="E411" s="593">
        <v>950</v>
      </c>
      <c r="F411" s="616">
        <v>1000</v>
      </c>
      <c r="G411" s="743">
        <v>750</v>
      </c>
      <c r="H411" s="763">
        <v>2000</v>
      </c>
      <c r="I411" s="13" t="e">
        <f>+#REF!-#REF!</f>
        <v>#REF!</v>
      </c>
      <c r="S411" s="790"/>
      <c r="T411" s="789"/>
      <c r="U411" s="789"/>
    </row>
    <row r="412" spans="1:21" x14ac:dyDescent="0.2">
      <c r="A412" s="71"/>
      <c r="B412" s="783" t="s">
        <v>1208</v>
      </c>
      <c r="C412" s="828" t="s">
        <v>1212</v>
      </c>
      <c r="D412" s="9" t="s">
        <v>395</v>
      </c>
      <c r="E412" s="593">
        <v>1020</v>
      </c>
      <c r="F412" s="616">
        <v>1051</v>
      </c>
      <c r="G412" s="743">
        <v>1010</v>
      </c>
      <c r="H412" s="763">
        <v>1051</v>
      </c>
      <c r="I412" s="13" t="e">
        <f>+#REF!-#REF!</f>
        <v>#REF!</v>
      </c>
      <c r="S412" s="790"/>
      <c r="T412" s="789"/>
      <c r="U412" s="789"/>
    </row>
    <row r="413" spans="1:21" x14ac:dyDescent="0.2">
      <c r="A413" s="71"/>
      <c r="B413" s="783" t="s">
        <v>1208</v>
      </c>
      <c r="C413" s="828" t="s">
        <v>1213</v>
      </c>
      <c r="D413" s="9" t="s">
        <v>350</v>
      </c>
      <c r="E413" s="593">
        <v>23154</v>
      </c>
      <c r="F413" s="616">
        <v>2868</v>
      </c>
      <c r="G413" s="743">
        <v>0</v>
      </c>
      <c r="H413" s="763">
        <v>3000</v>
      </c>
      <c r="I413" s="13" t="e">
        <f>+#REF!-#REF!</f>
        <v>#REF!</v>
      </c>
      <c r="J413" s="9"/>
      <c r="S413" s="790"/>
      <c r="T413" s="789"/>
      <c r="U413" s="789"/>
    </row>
    <row r="414" spans="1:21" x14ac:dyDescent="0.2">
      <c r="A414" s="71"/>
      <c r="B414" s="783" t="s">
        <v>1208</v>
      </c>
      <c r="C414" s="828" t="s">
        <v>1215</v>
      </c>
      <c r="D414" s="9" t="s">
        <v>280</v>
      </c>
      <c r="E414" s="593">
        <v>39091</v>
      </c>
      <c r="F414" s="616">
        <v>11112</v>
      </c>
      <c r="G414" s="743">
        <v>12955</v>
      </c>
      <c r="H414" s="763">
        <v>11839</v>
      </c>
      <c r="I414" s="13" t="e">
        <f>+#REF!-#REF!</f>
        <v>#REF!</v>
      </c>
      <c r="S414" s="790"/>
      <c r="T414" s="789"/>
      <c r="U414" s="789"/>
    </row>
    <row r="415" spans="1:21" x14ac:dyDescent="0.2">
      <c r="A415" s="71"/>
      <c r="B415" s="783" t="s">
        <v>1208</v>
      </c>
      <c r="C415" s="828" t="s">
        <v>1214</v>
      </c>
      <c r="D415" s="9" t="s">
        <v>440</v>
      </c>
      <c r="E415" s="593">
        <v>43077</v>
      </c>
      <c r="F415" s="616">
        <v>30110</v>
      </c>
      <c r="G415" s="743">
        <v>30110</v>
      </c>
      <c r="H415" s="763">
        <v>30110</v>
      </c>
      <c r="I415" s="13" t="e">
        <f>+#REF!-#REF!</f>
        <v>#REF!</v>
      </c>
      <c r="S415" s="790"/>
      <c r="T415" s="789"/>
      <c r="U415" s="789"/>
    </row>
    <row r="416" spans="1:21" x14ac:dyDescent="0.2">
      <c r="A416" s="71"/>
      <c r="B416" s="783" t="s">
        <v>1208</v>
      </c>
      <c r="C416" s="828" t="s">
        <v>904</v>
      </c>
      <c r="D416" s="9" t="s">
        <v>155</v>
      </c>
      <c r="E416" s="593">
        <v>9968</v>
      </c>
      <c r="F416" s="616">
        <v>8954</v>
      </c>
      <c r="G416" s="743">
        <v>9317</v>
      </c>
      <c r="H416" s="763">
        <v>9054</v>
      </c>
      <c r="I416" s="13" t="e">
        <f>+#REF!-#REF!</f>
        <v>#REF!</v>
      </c>
      <c r="S416" s="790"/>
      <c r="T416" s="789"/>
      <c r="U416" s="789"/>
    </row>
    <row r="417" spans="1:21" s="626" customFormat="1" x14ac:dyDescent="0.2">
      <c r="A417" s="71"/>
      <c r="B417" s="783">
        <v>1130241000</v>
      </c>
      <c r="C417" s="828">
        <v>2990.1010000000001</v>
      </c>
      <c r="D417" s="519" t="s">
        <v>1323</v>
      </c>
      <c r="E417" s="593"/>
      <c r="F417" s="616">
        <v>3600</v>
      </c>
      <c r="G417" s="743">
        <v>3600</v>
      </c>
      <c r="H417" s="763">
        <v>3600</v>
      </c>
      <c r="I417" s="13"/>
      <c r="S417" s="790"/>
      <c r="T417" s="789"/>
      <c r="U417" s="789"/>
    </row>
    <row r="418" spans="1:21" x14ac:dyDescent="0.2">
      <c r="A418" s="71"/>
      <c r="B418" s="783" t="s">
        <v>1208</v>
      </c>
      <c r="C418" s="828" t="s">
        <v>1216</v>
      </c>
      <c r="D418" s="9" t="s">
        <v>669</v>
      </c>
      <c r="E418" s="593">
        <v>3000</v>
      </c>
      <c r="F418" s="616">
        <v>3000</v>
      </c>
      <c r="G418" s="743">
        <v>1500</v>
      </c>
      <c r="H418" s="763">
        <v>1000</v>
      </c>
      <c r="I418" s="13" t="e">
        <f>+#REF!-#REF!</f>
        <v>#REF!</v>
      </c>
      <c r="S418" s="790"/>
      <c r="T418" s="789"/>
      <c r="U418" s="789"/>
    </row>
    <row r="419" spans="1:21" x14ac:dyDescent="0.2">
      <c r="A419" s="71"/>
      <c r="B419" s="783" t="s">
        <v>1208</v>
      </c>
      <c r="C419" s="828" t="s">
        <v>1217</v>
      </c>
      <c r="D419" s="9" t="s">
        <v>351</v>
      </c>
      <c r="E419" s="593">
        <v>200</v>
      </c>
      <c r="F419" s="616">
        <v>750</v>
      </c>
      <c r="G419" s="743">
        <v>750</v>
      </c>
      <c r="H419" s="763">
        <v>750</v>
      </c>
      <c r="I419" s="13" t="e">
        <f>+#REF!-#REF!</f>
        <v>#REF!</v>
      </c>
      <c r="S419" s="790"/>
      <c r="T419" s="789"/>
      <c r="U419" s="789"/>
    </row>
    <row r="420" spans="1:21" x14ac:dyDescent="0.2">
      <c r="A420" s="71"/>
      <c r="B420" s="783" t="s">
        <v>1208</v>
      </c>
      <c r="C420" s="828" t="s">
        <v>1218</v>
      </c>
      <c r="D420" s="9" t="s">
        <v>340</v>
      </c>
      <c r="E420" s="593">
        <v>1000</v>
      </c>
      <c r="F420" s="616">
        <v>1000</v>
      </c>
      <c r="G420" s="743">
        <v>1000</v>
      </c>
      <c r="H420" s="763">
        <v>1000</v>
      </c>
      <c r="I420" s="13" t="e">
        <f>+#REF!-#REF!</f>
        <v>#REF!</v>
      </c>
      <c r="S420" s="790"/>
      <c r="T420" s="789"/>
      <c r="U420" s="789"/>
    </row>
    <row r="421" spans="1:21" x14ac:dyDescent="0.2">
      <c r="A421" s="71"/>
      <c r="B421" s="783" t="s">
        <v>1208</v>
      </c>
      <c r="C421" s="828" t="s">
        <v>1221</v>
      </c>
      <c r="D421" s="9" t="s">
        <v>332</v>
      </c>
      <c r="E421" s="593">
        <v>750</v>
      </c>
      <c r="F421" s="616">
        <v>750</v>
      </c>
      <c r="G421" s="743">
        <v>750</v>
      </c>
      <c r="H421" s="763">
        <v>750</v>
      </c>
      <c r="I421" s="13" t="e">
        <f>+#REF!-#REF!</f>
        <v>#REF!</v>
      </c>
      <c r="S421" s="790"/>
      <c r="T421" s="789"/>
      <c r="U421" s="789"/>
    </row>
    <row r="422" spans="1:21" x14ac:dyDescent="0.2">
      <c r="A422" s="71"/>
      <c r="B422" s="783" t="s">
        <v>1208</v>
      </c>
      <c r="C422" s="828" t="s">
        <v>1219</v>
      </c>
      <c r="D422" s="9" t="s">
        <v>331</v>
      </c>
      <c r="E422" s="593">
        <v>550</v>
      </c>
      <c r="F422" s="616">
        <v>750</v>
      </c>
      <c r="G422" s="743">
        <v>1000</v>
      </c>
      <c r="H422" s="763">
        <v>750</v>
      </c>
      <c r="I422" s="13" t="e">
        <f>+#REF!-#REF!</f>
        <v>#REF!</v>
      </c>
      <c r="S422" s="790"/>
      <c r="T422" s="789"/>
      <c r="U422" s="789"/>
    </row>
    <row r="423" spans="1:21" x14ac:dyDescent="0.2">
      <c r="A423" s="71"/>
      <c r="B423" s="783" t="s">
        <v>1208</v>
      </c>
      <c r="C423" s="828" t="s">
        <v>1220</v>
      </c>
      <c r="D423" s="9" t="s">
        <v>341</v>
      </c>
      <c r="E423" s="593">
        <v>500</v>
      </c>
      <c r="F423" s="616">
        <v>700</v>
      </c>
      <c r="G423" s="743">
        <v>500</v>
      </c>
      <c r="H423" s="763">
        <v>500</v>
      </c>
      <c r="I423" s="13" t="e">
        <f>+#REF!-#REF!</f>
        <v>#REF!</v>
      </c>
      <c r="S423" s="790"/>
      <c r="T423" s="789"/>
      <c r="U423" s="789"/>
    </row>
    <row r="424" spans="1:21" x14ac:dyDescent="0.2">
      <c r="B424" s="797" t="s">
        <v>102</v>
      </c>
      <c r="C424" s="779"/>
      <c r="D424" s="252"/>
      <c r="E424" s="594">
        <f>SUM(E404:E423)</f>
        <v>252613</v>
      </c>
      <c r="F424" s="617">
        <f>SUM(F404:F423)</f>
        <v>182685</v>
      </c>
      <c r="G424" s="744">
        <f>SUM(G404:G423)</f>
        <v>184282</v>
      </c>
      <c r="H424" s="764">
        <f>SUM(H404:H423)</f>
        <v>181744</v>
      </c>
      <c r="I424" s="15" t="e">
        <f>SUM(I404:I423)</f>
        <v>#REF!</v>
      </c>
      <c r="S424" s="789"/>
      <c r="T424" s="789"/>
      <c r="U424" s="789"/>
    </row>
    <row r="425" spans="1:21" x14ac:dyDescent="0.2">
      <c r="A425" s="71"/>
      <c r="B425" s="730"/>
      <c r="C425" s="805"/>
      <c r="E425" s="593"/>
      <c r="F425" s="616"/>
      <c r="G425" s="743"/>
      <c r="H425" s="763"/>
      <c r="I425" s="13"/>
      <c r="S425" s="789"/>
      <c r="T425" s="789"/>
      <c r="U425" s="789"/>
    </row>
    <row r="426" spans="1:21" x14ac:dyDescent="0.2">
      <c r="A426" s="71"/>
      <c r="B426" s="783" t="s">
        <v>998</v>
      </c>
      <c r="C426" s="828" t="s">
        <v>1000</v>
      </c>
      <c r="D426" s="9" t="s">
        <v>352</v>
      </c>
      <c r="E426" s="593">
        <v>13450</v>
      </c>
      <c r="F426" s="616">
        <v>30000</v>
      </c>
      <c r="G426" s="743">
        <v>29500</v>
      </c>
      <c r="H426" s="763">
        <v>29500</v>
      </c>
      <c r="I426" s="13" t="e">
        <f>+#REF!-#REF!</f>
        <v>#REF!</v>
      </c>
    </row>
    <row r="427" spans="1:21" x14ac:dyDescent="0.2">
      <c r="A427" s="71"/>
      <c r="B427" s="783" t="s">
        <v>998</v>
      </c>
      <c r="C427" s="828" t="s">
        <v>999</v>
      </c>
      <c r="D427" t="s">
        <v>670</v>
      </c>
      <c r="E427" s="593">
        <v>5000</v>
      </c>
      <c r="F427" s="616">
        <v>5000</v>
      </c>
      <c r="G427" s="743">
        <v>10000</v>
      </c>
      <c r="H427" s="763">
        <v>10000</v>
      </c>
      <c r="I427" s="13" t="e">
        <f>+#REF!-#REF!</f>
        <v>#REF!</v>
      </c>
    </row>
    <row r="428" spans="1:21" x14ac:dyDescent="0.2">
      <c r="A428" s="71"/>
      <c r="B428" s="783" t="s">
        <v>998</v>
      </c>
      <c r="C428" s="828" t="s">
        <v>997</v>
      </c>
      <c r="D428" s="9" t="s">
        <v>583</v>
      </c>
      <c r="E428" s="593">
        <v>100</v>
      </c>
      <c r="F428" s="616">
        <v>1000</v>
      </c>
      <c r="G428" s="743">
        <v>1000</v>
      </c>
      <c r="H428" s="763">
        <v>750</v>
      </c>
      <c r="I428" s="13" t="e">
        <f>+#REF!-#REF!</f>
        <v>#REF!</v>
      </c>
    </row>
    <row r="429" spans="1:21" x14ac:dyDescent="0.2">
      <c r="B429" s="797" t="s">
        <v>25</v>
      </c>
      <c r="C429" s="779"/>
      <c r="D429" s="252"/>
      <c r="E429" s="594">
        <f>SUM(E426:E428)</f>
        <v>18550</v>
      </c>
      <c r="F429" s="617">
        <f>SUM(F426:F428)</f>
        <v>36000</v>
      </c>
      <c r="G429" s="744">
        <f>SUM(G426:G428)</f>
        <v>40500</v>
      </c>
      <c r="H429" s="764">
        <f>SUM(H426:H428)</f>
        <v>40250</v>
      </c>
      <c r="I429" s="15" t="e">
        <f>SUM(I426:I428)</f>
        <v>#REF!</v>
      </c>
    </row>
    <row r="430" spans="1:21" x14ac:dyDescent="0.2">
      <c r="A430" s="71"/>
      <c r="B430" s="730"/>
      <c r="C430" s="805"/>
      <c r="E430" s="593"/>
      <c r="F430" s="616"/>
      <c r="G430" s="743"/>
      <c r="H430" s="763"/>
      <c r="I430" s="13"/>
    </row>
    <row r="431" spans="1:21" x14ac:dyDescent="0.2">
      <c r="A431" s="71"/>
      <c r="B431" s="783" t="s">
        <v>1002</v>
      </c>
      <c r="C431" s="828" t="s">
        <v>1007</v>
      </c>
      <c r="D431" t="s">
        <v>711</v>
      </c>
      <c r="E431" s="593">
        <v>18334</v>
      </c>
      <c r="F431" s="616">
        <v>20166</v>
      </c>
      <c r="G431" s="743">
        <v>20166</v>
      </c>
      <c r="H431" s="763">
        <v>20216</v>
      </c>
      <c r="I431" s="13"/>
    </row>
    <row r="432" spans="1:21" x14ac:dyDescent="0.2">
      <c r="A432" s="71"/>
      <c r="B432" s="783" t="s">
        <v>1002</v>
      </c>
      <c r="C432" s="828" t="s">
        <v>1006</v>
      </c>
      <c r="D432" t="s">
        <v>33</v>
      </c>
      <c r="E432" s="593">
        <v>77000</v>
      </c>
      <c r="F432" s="616">
        <v>80328</v>
      </c>
      <c r="G432" s="743">
        <v>77000</v>
      </c>
      <c r="H432" s="763">
        <v>77000</v>
      </c>
      <c r="I432" s="13" t="e">
        <f>+#REF!-#REF!</f>
        <v>#REF!</v>
      </c>
    </row>
    <row r="433" spans="1:9" x14ac:dyDescent="0.2">
      <c r="A433" s="71"/>
      <c r="B433" s="783" t="s">
        <v>1002</v>
      </c>
      <c r="C433" s="828" t="s">
        <v>1005</v>
      </c>
      <c r="D433" s="9" t="s">
        <v>295</v>
      </c>
      <c r="E433" s="593">
        <v>0</v>
      </c>
      <c r="F433" s="616">
        <v>0</v>
      </c>
      <c r="G433" s="743">
        <v>0</v>
      </c>
      <c r="H433" s="763">
        <v>0</v>
      </c>
      <c r="I433" s="13" t="e">
        <f>+#REF!-#REF!</f>
        <v>#REF!</v>
      </c>
    </row>
    <row r="434" spans="1:9" x14ac:dyDescent="0.2">
      <c r="A434" s="71"/>
      <c r="B434" s="783" t="s">
        <v>1002</v>
      </c>
      <c r="C434" s="828" t="s">
        <v>1004</v>
      </c>
      <c r="D434" s="9" t="s">
        <v>353</v>
      </c>
      <c r="E434" s="593">
        <v>1120</v>
      </c>
      <c r="F434" s="616">
        <v>1120</v>
      </c>
      <c r="G434" s="743">
        <v>1120</v>
      </c>
      <c r="H434" s="763">
        <v>1500</v>
      </c>
      <c r="I434" s="13" t="e">
        <f>+#REF!-#REF!</f>
        <v>#REF!</v>
      </c>
    </row>
    <row r="435" spans="1:9" x14ac:dyDescent="0.2">
      <c r="A435" s="71"/>
      <c r="B435" s="783" t="s">
        <v>1002</v>
      </c>
      <c r="C435" s="828" t="s">
        <v>1003</v>
      </c>
      <c r="D435" s="9" t="s">
        <v>354</v>
      </c>
      <c r="E435" s="593">
        <v>26557</v>
      </c>
      <c r="F435" s="616">
        <v>22529</v>
      </c>
      <c r="G435" s="743">
        <v>20116</v>
      </c>
      <c r="H435" s="763">
        <v>20116</v>
      </c>
      <c r="I435" s="13" t="e">
        <f>+#REF!-#REF!</f>
        <v>#REF!</v>
      </c>
    </row>
    <row r="436" spans="1:9" x14ac:dyDescent="0.2">
      <c r="A436" s="71"/>
      <c r="B436" s="783" t="s">
        <v>1002</v>
      </c>
      <c r="C436" s="828" t="s">
        <v>1001</v>
      </c>
      <c r="D436" s="9" t="s">
        <v>355</v>
      </c>
      <c r="E436" s="593">
        <v>11577</v>
      </c>
      <c r="F436" s="616">
        <v>11866</v>
      </c>
      <c r="G436" s="743">
        <v>11712</v>
      </c>
      <c r="H436" s="763">
        <v>11712</v>
      </c>
      <c r="I436" s="13" t="e">
        <f>+#REF!-#REF!</f>
        <v>#REF!</v>
      </c>
    </row>
    <row r="437" spans="1:9" x14ac:dyDescent="0.2">
      <c r="A437" s="71"/>
      <c r="B437" s="783" t="s">
        <v>1002</v>
      </c>
      <c r="C437" s="828" t="s">
        <v>903</v>
      </c>
      <c r="D437" s="9" t="s">
        <v>280</v>
      </c>
      <c r="E437" s="593">
        <v>28937</v>
      </c>
      <c r="F437" s="616">
        <v>30485</v>
      </c>
      <c r="G437" s="743">
        <v>30469</v>
      </c>
      <c r="H437" s="763">
        <v>30602</v>
      </c>
      <c r="I437" s="13" t="e">
        <f>+#REF!-#REF!</f>
        <v>#REF!</v>
      </c>
    </row>
    <row r="438" spans="1:9" x14ac:dyDescent="0.2">
      <c r="A438" s="71"/>
      <c r="B438" s="783" t="s">
        <v>1002</v>
      </c>
      <c r="C438" s="828" t="s">
        <v>1008</v>
      </c>
      <c r="D438" s="9" t="s">
        <v>440</v>
      </c>
      <c r="E438" s="593">
        <v>32308</v>
      </c>
      <c r="F438" s="616">
        <v>22452</v>
      </c>
      <c r="G438" s="743">
        <v>22452</v>
      </c>
      <c r="H438" s="763">
        <v>22452</v>
      </c>
      <c r="I438" s="13" t="e">
        <f>+#REF!-#REF!</f>
        <v>#REF!</v>
      </c>
    </row>
    <row r="439" spans="1:9" x14ac:dyDescent="0.2">
      <c r="A439" s="71"/>
      <c r="B439" s="783" t="s">
        <v>1002</v>
      </c>
      <c r="C439" s="828" t="s">
        <v>904</v>
      </c>
      <c r="D439" s="9" t="s">
        <v>155</v>
      </c>
      <c r="E439" s="593">
        <v>7379</v>
      </c>
      <c r="F439" s="616">
        <v>7802</v>
      </c>
      <c r="G439" s="743">
        <v>7519</v>
      </c>
      <c r="H439" s="763">
        <v>7552</v>
      </c>
      <c r="I439" s="13" t="e">
        <f>+#REF!-#REF!</f>
        <v>#REF!</v>
      </c>
    </row>
    <row r="440" spans="1:9" x14ac:dyDescent="0.2">
      <c r="A440" s="71"/>
      <c r="B440" s="783" t="s">
        <v>1002</v>
      </c>
      <c r="C440" s="828" t="s">
        <v>1009</v>
      </c>
      <c r="D440" s="9" t="s">
        <v>282</v>
      </c>
      <c r="E440" s="593">
        <v>1592</v>
      </c>
      <c r="F440" s="616">
        <v>1600</v>
      </c>
      <c r="G440" s="743">
        <v>1600</v>
      </c>
      <c r="H440" s="763">
        <v>1600</v>
      </c>
      <c r="I440" s="13" t="e">
        <f>+#REF!-#REF!</f>
        <v>#REF!</v>
      </c>
    </row>
    <row r="441" spans="1:9" hidden="1" x14ac:dyDescent="0.2">
      <c r="A441" s="71"/>
      <c r="B441" s="783" t="s">
        <v>1002</v>
      </c>
      <c r="C441" s="828" t="s">
        <v>1012</v>
      </c>
      <c r="D441" s="9" t="s">
        <v>356</v>
      </c>
      <c r="E441" s="593">
        <v>0</v>
      </c>
      <c r="F441" s="616">
        <v>0</v>
      </c>
      <c r="G441" s="743">
        <v>0</v>
      </c>
      <c r="H441" s="763">
        <v>0</v>
      </c>
      <c r="I441" s="13" t="e">
        <f>+#REF!-#REF!</f>
        <v>#REF!</v>
      </c>
    </row>
    <row r="442" spans="1:9" x14ac:dyDescent="0.2">
      <c r="A442" s="71"/>
      <c r="B442" s="783" t="s">
        <v>1002</v>
      </c>
      <c r="C442" s="828" t="s">
        <v>1011</v>
      </c>
      <c r="D442" t="s">
        <v>34</v>
      </c>
      <c r="E442" s="593">
        <v>33800</v>
      </c>
      <c r="F442" s="616">
        <v>33800</v>
      </c>
      <c r="G442" s="743">
        <v>33800</v>
      </c>
      <c r="H442" s="763">
        <v>33800</v>
      </c>
      <c r="I442" s="13" t="e">
        <f>+#REF!-#REF!</f>
        <v>#REF!</v>
      </c>
    </row>
    <row r="443" spans="1:9" x14ac:dyDescent="0.2">
      <c r="A443" s="71"/>
      <c r="B443" s="783" t="s">
        <v>1002</v>
      </c>
      <c r="C443" s="828" t="s">
        <v>1010</v>
      </c>
      <c r="D443" t="s">
        <v>35</v>
      </c>
      <c r="E443" s="593">
        <v>36019</v>
      </c>
      <c r="F443" s="616">
        <v>40360</v>
      </c>
      <c r="G443" s="743">
        <v>40360</v>
      </c>
      <c r="H443" s="763">
        <v>40360</v>
      </c>
      <c r="I443" s="13" t="e">
        <f>+#REF!-#REF!</f>
        <v>#REF!</v>
      </c>
    </row>
    <row r="444" spans="1:9" x14ac:dyDescent="0.2">
      <c r="A444" s="71"/>
      <c r="B444" s="783" t="s">
        <v>1002</v>
      </c>
      <c r="C444" s="828" t="s">
        <v>1016</v>
      </c>
      <c r="D444" t="s">
        <v>36</v>
      </c>
      <c r="E444" s="593">
        <v>12000</v>
      </c>
      <c r="F444" s="616">
        <v>5000</v>
      </c>
      <c r="G444" s="743">
        <v>5000</v>
      </c>
      <c r="H444" s="763">
        <v>5600</v>
      </c>
      <c r="I444" s="13" t="e">
        <f>+#REF!-#REF!</f>
        <v>#REF!</v>
      </c>
    </row>
    <row r="445" spans="1:9" x14ac:dyDescent="0.2">
      <c r="A445" s="71"/>
      <c r="B445" s="783" t="s">
        <v>1002</v>
      </c>
      <c r="C445" s="828" t="s">
        <v>1015</v>
      </c>
      <c r="D445" t="s">
        <v>37</v>
      </c>
      <c r="E445" s="593">
        <v>4000</v>
      </c>
      <c r="F445" s="616">
        <v>4000</v>
      </c>
      <c r="G445" s="743">
        <v>5000</v>
      </c>
      <c r="H445" s="763">
        <v>5000</v>
      </c>
      <c r="I445" s="13" t="e">
        <f>+#REF!-#REF!</f>
        <v>#REF!</v>
      </c>
    </row>
    <row r="446" spans="1:9" x14ac:dyDescent="0.2">
      <c r="A446" s="71"/>
      <c r="B446" s="783" t="s">
        <v>1002</v>
      </c>
      <c r="C446" s="828" t="s">
        <v>1014</v>
      </c>
      <c r="D446" t="s">
        <v>38</v>
      </c>
      <c r="E446" s="593">
        <v>10000</v>
      </c>
      <c r="F446" s="616">
        <v>7000</v>
      </c>
      <c r="G446" s="743">
        <v>4200</v>
      </c>
      <c r="H446" s="763">
        <v>4704</v>
      </c>
      <c r="I446" s="13" t="e">
        <f>+#REF!-#REF!</f>
        <v>#REF!</v>
      </c>
    </row>
    <row r="447" spans="1:9" x14ac:dyDescent="0.2">
      <c r="A447" s="71"/>
      <c r="B447" s="783" t="s">
        <v>1002</v>
      </c>
      <c r="C447" s="828" t="s">
        <v>1013</v>
      </c>
      <c r="D447" t="s">
        <v>454</v>
      </c>
      <c r="E447" s="593">
        <v>25000</v>
      </c>
      <c r="F447" s="616">
        <v>25000</v>
      </c>
      <c r="G447" s="743">
        <v>25000</v>
      </c>
      <c r="H447" s="763">
        <v>20000</v>
      </c>
      <c r="I447" s="13" t="e">
        <f>+#REF!-#REF!</f>
        <v>#REF!</v>
      </c>
    </row>
    <row r="448" spans="1:9" hidden="1" x14ac:dyDescent="0.2">
      <c r="A448" s="71"/>
      <c r="B448" s="783" t="s">
        <v>1002</v>
      </c>
      <c r="C448" s="828" t="s">
        <v>1017</v>
      </c>
      <c r="D448" s="9" t="s">
        <v>677</v>
      </c>
      <c r="E448" s="593">
        <v>0</v>
      </c>
      <c r="F448" s="616">
        <v>0</v>
      </c>
      <c r="G448" s="743">
        <v>0</v>
      </c>
      <c r="H448" s="763">
        <v>0</v>
      </c>
      <c r="I448" s="13"/>
    </row>
    <row r="449" spans="1:9" x14ac:dyDescent="0.2">
      <c r="A449" s="71"/>
      <c r="B449" s="783" t="s">
        <v>1002</v>
      </c>
      <c r="C449" s="828" t="s">
        <v>1021</v>
      </c>
      <c r="D449" t="s">
        <v>39</v>
      </c>
      <c r="E449" s="593">
        <v>68000</v>
      </c>
      <c r="F449" s="616">
        <v>68000</v>
      </c>
      <c r="G449" s="743">
        <v>68000</v>
      </c>
      <c r="H449" s="763">
        <v>69000</v>
      </c>
      <c r="I449" s="13" t="e">
        <f>+#REF!-#REF!</f>
        <v>#REF!</v>
      </c>
    </row>
    <row r="450" spans="1:9" hidden="1" x14ac:dyDescent="0.2">
      <c r="A450" s="71"/>
      <c r="B450" s="807"/>
      <c r="C450" s="808"/>
      <c r="D450" s="190" t="s">
        <v>99</v>
      </c>
      <c r="E450" s="593">
        <v>0</v>
      </c>
      <c r="F450" s="616">
        <v>0</v>
      </c>
      <c r="G450" s="743">
        <v>0</v>
      </c>
      <c r="H450" s="763">
        <v>0</v>
      </c>
      <c r="I450" s="13" t="e">
        <f>+#REF!-#REF!</f>
        <v>#REF!</v>
      </c>
    </row>
    <row r="451" spans="1:9" x14ac:dyDescent="0.2">
      <c r="A451" s="71"/>
      <c r="B451" s="783" t="s">
        <v>1002</v>
      </c>
      <c r="C451" s="828" t="s">
        <v>1020</v>
      </c>
      <c r="D451" s="9" t="s">
        <v>357</v>
      </c>
      <c r="E451" s="593">
        <v>15000</v>
      </c>
      <c r="F451" s="616">
        <v>15000</v>
      </c>
      <c r="G451" s="743">
        <v>15000</v>
      </c>
      <c r="H451" s="763">
        <v>13000</v>
      </c>
      <c r="I451" s="13" t="e">
        <f>+#REF!-#REF!</f>
        <v>#REF!</v>
      </c>
    </row>
    <row r="452" spans="1:9" x14ac:dyDescent="0.2">
      <c r="A452" s="71"/>
      <c r="B452" s="783" t="s">
        <v>1002</v>
      </c>
      <c r="C452" s="828" t="s">
        <v>1019</v>
      </c>
      <c r="D452" s="9" t="s">
        <v>358</v>
      </c>
      <c r="E452" s="593">
        <v>24750</v>
      </c>
      <c r="F452" s="616">
        <v>24750</v>
      </c>
      <c r="G452" s="743">
        <v>24750</v>
      </c>
      <c r="H452" s="763">
        <v>24750</v>
      </c>
      <c r="I452" s="13" t="e">
        <f>+#REF!-#REF!</f>
        <v>#REF!</v>
      </c>
    </row>
    <row r="453" spans="1:9" x14ac:dyDescent="0.2">
      <c r="A453" s="71"/>
      <c r="B453" s="783" t="s">
        <v>1002</v>
      </c>
      <c r="C453" s="828" t="s">
        <v>1018</v>
      </c>
      <c r="D453" s="9" t="s">
        <v>359</v>
      </c>
      <c r="E453" s="593">
        <v>4000</v>
      </c>
      <c r="F453" s="616">
        <v>4000</v>
      </c>
      <c r="G453" s="743">
        <v>4000</v>
      </c>
      <c r="H453" s="763">
        <v>3500</v>
      </c>
      <c r="I453" s="13" t="e">
        <f>+#REF!-#REF!</f>
        <v>#REF!</v>
      </c>
    </row>
    <row r="454" spans="1:9" x14ac:dyDescent="0.2">
      <c r="A454" s="71"/>
      <c r="B454" s="783" t="s">
        <v>1002</v>
      </c>
      <c r="C454" s="828" t="s">
        <v>1026</v>
      </c>
      <c r="D454" s="9" t="s">
        <v>360</v>
      </c>
      <c r="E454" s="593">
        <v>23000</v>
      </c>
      <c r="F454" s="616">
        <v>23000</v>
      </c>
      <c r="G454" s="743">
        <v>23000</v>
      </c>
      <c r="H454" s="763">
        <v>20000</v>
      </c>
      <c r="I454" s="13" t="e">
        <f>+#REF!-#REF!</f>
        <v>#REF!</v>
      </c>
    </row>
    <row r="455" spans="1:9" x14ac:dyDescent="0.2">
      <c r="A455" s="71"/>
      <c r="B455" s="783" t="s">
        <v>1002</v>
      </c>
      <c r="C455" s="828" t="s">
        <v>1025</v>
      </c>
      <c r="D455" s="9" t="s">
        <v>361</v>
      </c>
      <c r="E455" s="593">
        <v>260</v>
      </c>
      <c r="F455" s="616">
        <v>260</v>
      </c>
      <c r="G455" s="743">
        <v>260</v>
      </c>
      <c r="H455" s="763">
        <v>260</v>
      </c>
      <c r="I455" s="13" t="e">
        <f>+#REF!-#REF!</f>
        <v>#REF!</v>
      </c>
    </row>
    <row r="456" spans="1:9" x14ac:dyDescent="0.2">
      <c r="A456" s="71"/>
      <c r="B456" s="783" t="s">
        <v>1002</v>
      </c>
      <c r="C456" s="828" t="s">
        <v>1024</v>
      </c>
      <c r="D456" s="9" t="s">
        <v>362</v>
      </c>
      <c r="E456" s="593">
        <v>38000</v>
      </c>
      <c r="F456" s="616">
        <v>38000</v>
      </c>
      <c r="G456" s="743">
        <v>38000</v>
      </c>
      <c r="H456" s="763">
        <v>35000</v>
      </c>
      <c r="I456" s="13" t="e">
        <f>+#REF!-#REF!</f>
        <v>#REF!</v>
      </c>
    </row>
    <row r="457" spans="1:9" x14ac:dyDescent="0.2">
      <c r="A457" s="71"/>
      <c r="B457" s="783" t="s">
        <v>1002</v>
      </c>
      <c r="C457" s="828" t="s">
        <v>1023</v>
      </c>
      <c r="D457" s="9" t="s">
        <v>363</v>
      </c>
      <c r="E457" s="593">
        <v>3500</v>
      </c>
      <c r="F457" s="616">
        <v>3500</v>
      </c>
      <c r="G457" s="743">
        <v>3500</v>
      </c>
      <c r="H457" s="763">
        <v>3000</v>
      </c>
      <c r="I457" s="13" t="e">
        <f>+#REF!-#REF!</f>
        <v>#REF!</v>
      </c>
    </row>
    <row r="458" spans="1:9" x14ac:dyDescent="0.2">
      <c r="A458" s="71"/>
      <c r="B458" s="783" t="s">
        <v>1002</v>
      </c>
      <c r="C458" s="828" t="s">
        <v>1022</v>
      </c>
      <c r="D458" s="9" t="s">
        <v>364</v>
      </c>
      <c r="E458" s="593">
        <v>475</v>
      </c>
      <c r="F458" s="616">
        <v>475</v>
      </c>
      <c r="G458" s="743">
        <v>475</v>
      </c>
      <c r="H458" s="763">
        <v>500</v>
      </c>
      <c r="I458" s="13" t="e">
        <f>+#REF!-#REF!</f>
        <v>#REF!</v>
      </c>
    </row>
    <row r="459" spans="1:9" x14ac:dyDescent="0.2">
      <c r="A459" s="71"/>
      <c r="B459" s="783" t="s">
        <v>1002</v>
      </c>
      <c r="C459" s="828" t="s">
        <v>1028</v>
      </c>
      <c r="D459" s="9" t="s">
        <v>616</v>
      </c>
      <c r="E459" s="593">
        <v>300</v>
      </c>
      <c r="F459" s="616">
        <v>300</v>
      </c>
      <c r="G459" s="743">
        <v>300</v>
      </c>
      <c r="H459" s="763">
        <v>300</v>
      </c>
      <c r="I459" s="13" t="e">
        <f>+#REF!-#REF!</f>
        <v>#REF!</v>
      </c>
    </row>
    <row r="460" spans="1:9" x14ac:dyDescent="0.2">
      <c r="A460" s="71"/>
      <c r="B460" s="783" t="s">
        <v>1002</v>
      </c>
      <c r="C460" s="828" t="s">
        <v>1027</v>
      </c>
      <c r="D460" t="s">
        <v>40</v>
      </c>
      <c r="E460" s="593">
        <v>7632</v>
      </c>
      <c r="F460" s="616">
        <v>12000</v>
      </c>
      <c r="G460" s="743">
        <v>12000</v>
      </c>
      <c r="H460" s="763">
        <v>13000</v>
      </c>
      <c r="I460" s="13" t="e">
        <f>+#REF!-#REF!</f>
        <v>#REF!</v>
      </c>
    </row>
    <row r="461" spans="1:9" x14ac:dyDescent="0.2">
      <c r="A461" s="71"/>
      <c r="B461" s="783" t="s">
        <v>1002</v>
      </c>
      <c r="C461" s="828" t="s">
        <v>1029</v>
      </c>
      <c r="D461" s="9" t="s">
        <v>315</v>
      </c>
      <c r="E461" s="593">
        <v>18402.72</v>
      </c>
      <c r="F461" s="616">
        <v>20000</v>
      </c>
      <c r="G461" s="743">
        <v>20000</v>
      </c>
      <c r="H461" s="763">
        <v>30000</v>
      </c>
      <c r="I461" s="13" t="e">
        <f>+#REF!-#REF!</f>
        <v>#REF!</v>
      </c>
    </row>
    <row r="462" spans="1:9" hidden="1" x14ac:dyDescent="0.2">
      <c r="A462" s="71">
        <v>10886</v>
      </c>
      <c r="B462" s="807"/>
      <c r="C462" s="808"/>
      <c r="D462" s="9" t="s">
        <v>492</v>
      </c>
      <c r="E462" s="593">
        <v>0</v>
      </c>
      <c r="F462" s="616">
        <v>0</v>
      </c>
      <c r="G462" s="743">
        <v>0</v>
      </c>
      <c r="H462" s="763">
        <v>0</v>
      </c>
      <c r="I462" s="13" t="e">
        <f>+#REF!-#REF!</f>
        <v>#REF!</v>
      </c>
    </row>
    <row r="463" spans="1:9" x14ac:dyDescent="0.2">
      <c r="B463" s="797" t="s">
        <v>26</v>
      </c>
      <c r="C463" s="779"/>
      <c r="D463" s="252"/>
      <c r="E463" s="594">
        <f>SUM(E431:E462)</f>
        <v>528942.72</v>
      </c>
      <c r="F463" s="617">
        <f>SUM(F431:F462)</f>
        <v>522793</v>
      </c>
      <c r="G463" s="744">
        <f>SUM(G431:G462)</f>
        <v>514799</v>
      </c>
      <c r="H463" s="764">
        <f>SUM(H431:H462)</f>
        <v>514524</v>
      </c>
      <c r="I463" s="15" t="e">
        <f>SUM(I432:I462)</f>
        <v>#REF!</v>
      </c>
    </row>
    <row r="464" spans="1:9" s="625" customFormat="1" x14ac:dyDescent="0.2">
      <c r="A464" s="627"/>
      <c r="B464" s="800"/>
      <c r="C464" s="784"/>
      <c r="D464" s="628"/>
      <c r="E464" s="593"/>
      <c r="F464" s="616"/>
      <c r="G464" s="743"/>
      <c r="H464" s="763"/>
      <c r="I464" s="13"/>
    </row>
    <row r="465" spans="1:9" s="625" customFormat="1" x14ac:dyDescent="0.2">
      <c r="A465" s="76"/>
      <c r="B465" s="798">
        <v>1100266244</v>
      </c>
      <c r="C465" s="780">
        <v>5990.143</v>
      </c>
      <c r="D465" s="519" t="s">
        <v>1312</v>
      </c>
      <c r="E465" s="593">
        <v>38831</v>
      </c>
      <c r="F465" s="616">
        <v>0</v>
      </c>
      <c r="G465" s="743">
        <v>0</v>
      </c>
      <c r="H465" s="763">
        <v>38966</v>
      </c>
      <c r="I465" s="13"/>
    </row>
    <row r="466" spans="1:9" s="625" customFormat="1" x14ac:dyDescent="0.2">
      <c r="A466" s="76"/>
      <c r="B466" s="798">
        <v>1100266244</v>
      </c>
      <c r="C466" s="780">
        <v>5990.1440000000002</v>
      </c>
      <c r="D466" s="519" t="s">
        <v>1313</v>
      </c>
      <c r="E466" s="593">
        <v>4000</v>
      </c>
      <c r="F466" s="616">
        <v>0</v>
      </c>
      <c r="G466" s="743">
        <v>0</v>
      </c>
      <c r="H466" s="763">
        <v>0</v>
      </c>
      <c r="I466" s="13"/>
    </row>
    <row r="467" spans="1:9" s="625" customFormat="1" x14ac:dyDescent="0.2">
      <c r="A467" s="76"/>
      <c r="B467" s="798">
        <v>1100266244</v>
      </c>
      <c r="C467" s="780">
        <v>5990.1450000000004</v>
      </c>
      <c r="D467" s="519" t="s">
        <v>1314</v>
      </c>
      <c r="E467" s="593">
        <v>8374</v>
      </c>
      <c r="F467" s="616">
        <v>0</v>
      </c>
      <c r="G467" s="743">
        <v>0</v>
      </c>
      <c r="H467" s="763">
        <v>4187</v>
      </c>
      <c r="I467" s="13"/>
    </row>
    <row r="468" spans="1:9" s="625" customFormat="1" x14ac:dyDescent="0.2">
      <c r="B468" s="799" t="s">
        <v>1311</v>
      </c>
      <c r="C468" s="803"/>
      <c r="D468" s="252"/>
      <c r="E468" s="594">
        <f>SUM(E464:E467)</f>
        <v>51205</v>
      </c>
      <c r="F468" s="617">
        <f>SUM(F464:F467)</f>
        <v>0</v>
      </c>
      <c r="G468" s="744">
        <f>SUM(G464:G467)</f>
        <v>0</v>
      </c>
      <c r="H468" s="764">
        <f>SUM(H464:H467)</f>
        <v>43153</v>
      </c>
      <c r="I468" s="13"/>
    </row>
    <row r="469" spans="1:9" x14ac:dyDescent="0.2">
      <c r="A469" s="71"/>
      <c r="B469" s="730"/>
      <c r="C469" s="805"/>
      <c r="E469" s="593"/>
      <c r="F469" s="616"/>
      <c r="G469" s="743"/>
      <c r="H469" s="763"/>
      <c r="I469" s="13"/>
    </row>
    <row r="470" spans="1:9" x14ac:dyDescent="0.2">
      <c r="A470" s="71"/>
      <c r="B470" s="783" t="s">
        <v>1031</v>
      </c>
      <c r="C470" s="828" t="s">
        <v>1034</v>
      </c>
      <c r="D470" s="9" t="s">
        <v>365</v>
      </c>
      <c r="E470" s="593">
        <v>19333</v>
      </c>
      <c r="F470" s="616">
        <v>20167</v>
      </c>
      <c r="G470" s="743">
        <v>20167</v>
      </c>
      <c r="H470" s="763">
        <v>20217</v>
      </c>
      <c r="I470" s="13" t="e">
        <f>+#REF!-#REF!</f>
        <v>#REF!</v>
      </c>
    </row>
    <row r="471" spans="1:9" x14ac:dyDescent="0.2">
      <c r="A471" s="71"/>
      <c r="B471" s="783" t="s">
        <v>1031</v>
      </c>
      <c r="C471" s="828" t="s">
        <v>1033</v>
      </c>
      <c r="D471" s="9" t="s">
        <v>366</v>
      </c>
      <c r="E471" s="593">
        <v>46671</v>
      </c>
      <c r="F471" s="616">
        <v>60107</v>
      </c>
      <c r="G471" s="743">
        <v>47000</v>
      </c>
      <c r="H471" s="763">
        <v>51230</v>
      </c>
      <c r="I471" s="13" t="e">
        <f>+#REF!-#REF!</f>
        <v>#REF!</v>
      </c>
    </row>
    <row r="472" spans="1:9" x14ac:dyDescent="0.2">
      <c r="A472" s="71"/>
      <c r="B472" s="783" t="s">
        <v>1031</v>
      </c>
      <c r="C472" s="828" t="s">
        <v>1032</v>
      </c>
      <c r="D472" s="9" t="s">
        <v>369</v>
      </c>
      <c r="E472" s="593">
        <v>3501</v>
      </c>
      <c r="F472" s="616">
        <v>3500</v>
      </c>
      <c r="G472" s="743">
        <v>4000</v>
      </c>
      <c r="H472" s="763">
        <v>4500</v>
      </c>
      <c r="I472" s="13" t="e">
        <f>+#REF!-#REF!</f>
        <v>#REF!</v>
      </c>
    </row>
    <row r="473" spans="1:9" x14ac:dyDescent="0.2">
      <c r="A473" s="71"/>
      <c r="B473" s="783" t="s">
        <v>1031</v>
      </c>
      <c r="C473" s="828" t="s">
        <v>1030</v>
      </c>
      <c r="D473" s="9" t="s">
        <v>370</v>
      </c>
      <c r="E473" s="593">
        <v>1358</v>
      </c>
      <c r="F473" s="616">
        <v>1350</v>
      </c>
      <c r="G473" s="743">
        <v>1350</v>
      </c>
      <c r="H473" s="763">
        <v>1350</v>
      </c>
      <c r="I473" s="13" t="e">
        <f>+#REF!-#REF!</f>
        <v>#REF!</v>
      </c>
    </row>
    <row r="474" spans="1:9" x14ac:dyDescent="0.2">
      <c r="A474" s="71"/>
      <c r="B474" s="783" t="s">
        <v>1031</v>
      </c>
      <c r="C474" s="828" t="s">
        <v>1036</v>
      </c>
      <c r="D474" s="9" t="s">
        <v>367</v>
      </c>
      <c r="E474" s="593">
        <v>19333</v>
      </c>
      <c r="F474" s="616">
        <v>20167</v>
      </c>
      <c r="G474" s="743">
        <v>20167</v>
      </c>
      <c r="H474" s="763">
        <v>20217</v>
      </c>
      <c r="I474" s="13" t="e">
        <f>+#REF!-#REF!</f>
        <v>#REF!</v>
      </c>
    </row>
    <row r="475" spans="1:9" x14ac:dyDescent="0.2">
      <c r="A475" s="71"/>
      <c r="B475" s="783" t="s">
        <v>1031</v>
      </c>
      <c r="C475" s="828" t="s">
        <v>1035</v>
      </c>
      <c r="D475" s="9" t="s">
        <v>295</v>
      </c>
      <c r="E475" s="593">
        <v>12845</v>
      </c>
      <c r="F475" s="616">
        <v>300</v>
      </c>
      <c r="G475" s="743">
        <v>300</v>
      </c>
      <c r="H475" s="763">
        <v>300</v>
      </c>
      <c r="I475" s="13" t="e">
        <f>+#REF!-#REF!</f>
        <v>#REF!</v>
      </c>
    </row>
    <row r="476" spans="1:9" x14ac:dyDescent="0.2">
      <c r="A476" s="71"/>
      <c r="B476" s="783" t="s">
        <v>1031</v>
      </c>
      <c r="C476" s="828" t="s">
        <v>1039</v>
      </c>
      <c r="D476" s="9" t="s">
        <v>368</v>
      </c>
      <c r="E476" s="593">
        <v>6346</v>
      </c>
      <c r="F476" s="616">
        <v>4000</v>
      </c>
      <c r="G476" s="743">
        <v>13200</v>
      </c>
      <c r="H476" s="763">
        <v>9000</v>
      </c>
      <c r="I476" s="13" t="e">
        <f>+#REF!-#REF!</f>
        <v>#REF!</v>
      </c>
    </row>
    <row r="477" spans="1:9" x14ac:dyDescent="0.2">
      <c r="A477" s="71"/>
      <c r="B477" s="783" t="s">
        <v>1031</v>
      </c>
      <c r="C477" s="828" t="s">
        <v>1038</v>
      </c>
      <c r="D477" s="9" t="s">
        <v>371</v>
      </c>
      <c r="E477" s="593">
        <v>24265</v>
      </c>
      <c r="F477" s="616">
        <v>24680</v>
      </c>
      <c r="G477" s="743">
        <v>17899</v>
      </c>
      <c r="H477" s="763">
        <v>22322</v>
      </c>
      <c r="I477" s="13" t="e">
        <f>+#REF!-#REF!</f>
        <v>#REF!</v>
      </c>
    </row>
    <row r="478" spans="1:9" x14ac:dyDescent="0.2">
      <c r="A478" s="71"/>
      <c r="B478" s="783" t="s">
        <v>1031</v>
      </c>
      <c r="C478" s="828" t="s">
        <v>1037</v>
      </c>
      <c r="D478" s="9" t="s">
        <v>372</v>
      </c>
      <c r="E478" s="593">
        <v>11520</v>
      </c>
      <c r="F478" s="616">
        <v>11866</v>
      </c>
      <c r="G478" s="743">
        <v>11712</v>
      </c>
      <c r="H478" s="763">
        <v>12649</v>
      </c>
      <c r="I478" s="13" t="e">
        <f>+#REF!-#REF!</f>
        <v>#REF!</v>
      </c>
    </row>
    <row r="479" spans="1:9" x14ac:dyDescent="0.2">
      <c r="A479" s="71"/>
      <c r="B479" s="783" t="s">
        <v>1031</v>
      </c>
      <c r="C479" s="828" t="s">
        <v>903</v>
      </c>
      <c r="D479" s="9" t="s">
        <v>280</v>
      </c>
      <c r="E479" s="593">
        <v>32817</v>
      </c>
      <c r="F479" s="616">
        <v>32878</v>
      </c>
      <c r="G479" s="743">
        <v>32918</v>
      </c>
      <c r="H479" s="763">
        <v>33112</v>
      </c>
      <c r="I479" s="13" t="e">
        <f>+#REF!-#REF!</f>
        <v>#REF!</v>
      </c>
    </row>
    <row r="480" spans="1:9" x14ac:dyDescent="0.2">
      <c r="A480" s="71"/>
      <c r="B480" s="783" t="s">
        <v>1031</v>
      </c>
      <c r="C480" s="828" t="s">
        <v>1040</v>
      </c>
      <c r="D480" s="9" t="s">
        <v>440</v>
      </c>
      <c r="E480" s="593">
        <v>43078</v>
      </c>
      <c r="F480" s="616">
        <v>25462</v>
      </c>
      <c r="G480" s="743">
        <v>25462</v>
      </c>
      <c r="H480" s="763">
        <v>25462</v>
      </c>
      <c r="I480" s="13" t="e">
        <f>+#REF!-#REF!</f>
        <v>#REF!</v>
      </c>
    </row>
    <row r="481" spans="1:9" x14ac:dyDescent="0.2">
      <c r="A481" s="71"/>
      <c r="B481" s="783" t="s">
        <v>1031</v>
      </c>
      <c r="C481" s="828" t="s">
        <v>904</v>
      </c>
      <c r="D481" s="9" t="s">
        <v>155</v>
      </c>
      <c r="E481" s="593">
        <v>8368</v>
      </c>
      <c r="F481" s="616">
        <v>8440</v>
      </c>
      <c r="G481" s="743">
        <v>8124</v>
      </c>
      <c r="H481" s="763">
        <v>8172</v>
      </c>
      <c r="I481" s="13" t="e">
        <f>+#REF!-#REF!</f>
        <v>#REF!</v>
      </c>
    </row>
    <row r="482" spans="1:9" x14ac:dyDescent="0.2">
      <c r="A482" s="71"/>
      <c r="B482" s="783" t="s">
        <v>1031</v>
      </c>
      <c r="C482" s="828" t="s">
        <v>1041</v>
      </c>
      <c r="D482" s="9" t="s">
        <v>282</v>
      </c>
      <c r="E482" s="593">
        <v>2070</v>
      </c>
      <c r="F482" s="616">
        <v>2070</v>
      </c>
      <c r="G482" s="743">
        <v>2070</v>
      </c>
      <c r="H482" s="763">
        <v>2070</v>
      </c>
      <c r="I482" s="13" t="e">
        <f>+#REF!-#REF!</f>
        <v>#REF!</v>
      </c>
    </row>
    <row r="483" spans="1:9" x14ac:dyDescent="0.2">
      <c r="A483" s="71"/>
      <c r="B483" s="783" t="s">
        <v>1031</v>
      </c>
      <c r="C483" s="828" t="s">
        <v>1042</v>
      </c>
      <c r="D483" s="9" t="s">
        <v>529</v>
      </c>
      <c r="E483" s="593">
        <v>2734</v>
      </c>
      <c r="F483" s="616">
        <v>0</v>
      </c>
      <c r="G483" s="743">
        <v>3000</v>
      </c>
      <c r="H483" s="763">
        <v>5000</v>
      </c>
      <c r="I483" s="13" t="e">
        <f>+#REF!-#REF!</f>
        <v>#REF!</v>
      </c>
    </row>
    <row r="484" spans="1:9" hidden="1" x14ac:dyDescent="0.2">
      <c r="A484" s="71"/>
      <c r="B484" s="807"/>
      <c r="C484" s="808"/>
      <c r="D484" s="341" t="s">
        <v>373</v>
      </c>
      <c r="E484" s="593">
        <v>0</v>
      </c>
      <c r="F484" s="616">
        <v>0</v>
      </c>
      <c r="G484" s="743">
        <v>0</v>
      </c>
      <c r="H484" s="763">
        <v>0</v>
      </c>
      <c r="I484" s="13" t="e">
        <f>+#REF!-#REF!</f>
        <v>#REF!</v>
      </c>
    </row>
    <row r="485" spans="1:9" x14ac:dyDescent="0.2">
      <c r="A485" s="71"/>
      <c r="B485" s="783" t="s">
        <v>1031</v>
      </c>
      <c r="C485" s="828" t="s">
        <v>1043</v>
      </c>
      <c r="D485" s="9" t="s">
        <v>373</v>
      </c>
      <c r="E485" s="593">
        <v>500</v>
      </c>
      <c r="F485" s="616">
        <v>500</v>
      </c>
      <c r="G485" s="743">
        <v>500</v>
      </c>
      <c r="H485" s="763">
        <v>500</v>
      </c>
      <c r="I485" s="13"/>
    </row>
    <row r="486" spans="1:9" x14ac:dyDescent="0.2">
      <c r="A486" s="71"/>
      <c r="B486" s="783" t="s">
        <v>1031</v>
      </c>
      <c r="C486" s="828" t="s">
        <v>1044</v>
      </c>
      <c r="D486" s="9" t="s">
        <v>374</v>
      </c>
      <c r="E486" s="593">
        <v>160</v>
      </c>
      <c r="F486" s="616">
        <v>300</v>
      </c>
      <c r="G486" s="743">
        <v>300</v>
      </c>
      <c r="H486" s="763">
        <v>300</v>
      </c>
      <c r="I486" s="13" t="e">
        <f>+#REF!-#REF!</f>
        <v>#REF!</v>
      </c>
    </row>
    <row r="487" spans="1:9" x14ac:dyDescent="0.2">
      <c r="A487" s="71"/>
      <c r="B487" s="783" t="s">
        <v>1031</v>
      </c>
      <c r="C487" s="828" t="s">
        <v>1045</v>
      </c>
      <c r="D487" t="s">
        <v>47</v>
      </c>
      <c r="E487" s="593">
        <v>7552</v>
      </c>
      <c r="F487" s="616">
        <v>7851</v>
      </c>
      <c r="G487" s="743">
        <v>7851</v>
      </c>
      <c r="H487" s="763">
        <v>7851</v>
      </c>
      <c r="I487" s="13" t="e">
        <f>+#REF!-#REF!</f>
        <v>#REF!</v>
      </c>
    </row>
    <row r="488" spans="1:9" x14ac:dyDescent="0.2">
      <c r="A488" s="71"/>
      <c r="B488" s="783" t="s">
        <v>1031</v>
      </c>
      <c r="C488" s="828" t="s">
        <v>1055</v>
      </c>
      <c r="D488" s="9" t="s">
        <v>375</v>
      </c>
      <c r="E488" s="593">
        <v>7000</v>
      </c>
      <c r="F488" s="616">
        <v>7000</v>
      </c>
      <c r="G488" s="743">
        <v>28000</v>
      </c>
      <c r="H488" s="763">
        <v>25000</v>
      </c>
      <c r="I488" s="13" t="e">
        <f>+#REF!-#REF!</f>
        <v>#REF!</v>
      </c>
    </row>
    <row r="489" spans="1:9" x14ac:dyDescent="0.2">
      <c r="A489" s="71"/>
      <c r="B489" s="783" t="s">
        <v>1031</v>
      </c>
      <c r="C489" s="828" t="s">
        <v>1056</v>
      </c>
      <c r="D489" s="9" t="s">
        <v>376</v>
      </c>
      <c r="E489" s="593">
        <v>2300</v>
      </c>
      <c r="F489" s="616">
        <v>1440</v>
      </c>
      <c r="G489" s="743">
        <v>1440</v>
      </c>
      <c r="H489" s="763">
        <v>2500</v>
      </c>
      <c r="I489" s="13" t="e">
        <f>+#REF!-#REF!</f>
        <v>#REF!</v>
      </c>
    </row>
    <row r="490" spans="1:9" x14ac:dyDescent="0.2">
      <c r="A490" s="71"/>
      <c r="B490" s="783" t="s">
        <v>1031</v>
      </c>
      <c r="C490" s="828" t="s">
        <v>1049</v>
      </c>
      <c r="D490" s="9" t="s">
        <v>48</v>
      </c>
      <c r="E490" s="593">
        <v>4000</v>
      </c>
      <c r="F490" s="616">
        <v>4000</v>
      </c>
      <c r="G490" s="743">
        <v>4000</v>
      </c>
      <c r="H490" s="763">
        <v>4000</v>
      </c>
      <c r="I490" s="13" t="e">
        <f>+#REF!-#REF!</f>
        <v>#REF!</v>
      </c>
    </row>
    <row r="491" spans="1:9" x14ac:dyDescent="0.2">
      <c r="A491" s="71"/>
      <c r="B491" s="783" t="s">
        <v>1031</v>
      </c>
      <c r="C491" s="828" t="s">
        <v>1048</v>
      </c>
      <c r="D491" s="9" t="s">
        <v>377</v>
      </c>
      <c r="E491" s="593">
        <v>3000</v>
      </c>
      <c r="F491" s="616">
        <v>3000</v>
      </c>
      <c r="G491" s="743">
        <v>3000</v>
      </c>
      <c r="H491" s="763">
        <v>3000</v>
      </c>
      <c r="I491" s="13" t="e">
        <f>+#REF!-#REF!</f>
        <v>#REF!</v>
      </c>
    </row>
    <row r="492" spans="1:9" x14ac:dyDescent="0.2">
      <c r="A492" s="71"/>
      <c r="B492" s="783" t="s">
        <v>1031</v>
      </c>
      <c r="C492" s="828" t="s">
        <v>1047</v>
      </c>
      <c r="D492" t="s">
        <v>43</v>
      </c>
      <c r="E492" s="593">
        <v>45000</v>
      </c>
      <c r="F492" s="616">
        <v>45000</v>
      </c>
      <c r="G492" s="743">
        <v>40000</v>
      </c>
      <c r="H492" s="763">
        <v>40000</v>
      </c>
      <c r="I492" s="13" t="e">
        <f>+#REF!-#REF!</f>
        <v>#REF!</v>
      </c>
    </row>
    <row r="493" spans="1:9" x14ac:dyDescent="0.2">
      <c r="A493" s="71"/>
      <c r="B493" s="783" t="s">
        <v>1031</v>
      </c>
      <c r="C493" s="828" t="s">
        <v>1046</v>
      </c>
      <c r="D493" t="s">
        <v>42</v>
      </c>
      <c r="E493" s="593">
        <v>0</v>
      </c>
      <c r="F493" s="616">
        <v>2000</v>
      </c>
      <c r="G493" s="743">
        <v>5000</v>
      </c>
      <c r="H493" s="763">
        <v>5000</v>
      </c>
      <c r="I493" s="13" t="e">
        <f>+#REF!-#REF!</f>
        <v>#REF!</v>
      </c>
    </row>
    <row r="494" spans="1:9" x14ac:dyDescent="0.2">
      <c r="A494" s="71"/>
      <c r="B494" s="783" t="s">
        <v>1031</v>
      </c>
      <c r="C494" s="828" t="s">
        <v>1051</v>
      </c>
      <c r="D494" t="s">
        <v>46</v>
      </c>
      <c r="E494" s="593">
        <v>5000</v>
      </c>
      <c r="F494" s="616">
        <v>5000</v>
      </c>
      <c r="G494" s="743">
        <v>5000</v>
      </c>
      <c r="H494" s="763">
        <v>5000</v>
      </c>
      <c r="I494" s="13" t="e">
        <f>+#REF!-#REF!</f>
        <v>#REF!</v>
      </c>
    </row>
    <row r="495" spans="1:9" x14ac:dyDescent="0.2">
      <c r="A495" s="71"/>
      <c r="B495" s="783" t="s">
        <v>1031</v>
      </c>
      <c r="C495" s="828" t="s">
        <v>1050</v>
      </c>
      <c r="D495" t="s">
        <v>45</v>
      </c>
      <c r="E495" s="593">
        <v>35000</v>
      </c>
      <c r="F495" s="616">
        <v>17000</v>
      </c>
      <c r="G495" s="743">
        <v>26000</v>
      </c>
      <c r="H495" s="763">
        <v>50000</v>
      </c>
      <c r="I495" s="13" t="e">
        <f>+#REF!-#REF!</f>
        <v>#REF!</v>
      </c>
    </row>
    <row r="496" spans="1:9" x14ac:dyDescent="0.2">
      <c r="A496" s="71"/>
      <c r="B496" s="783" t="s">
        <v>1031</v>
      </c>
      <c r="C496" s="828" t="s">
        <v>1053</v>
      </c>
      <c r="D496" s="9" t="s">
        <v>332</v>
      </c>
      <c r="E496" s="593">
        <v>4000</v>
      </c>
      <c r="F496" s="616">
        <v>2000</v>
      </c>
      <c r="G496" s="743">
        <v>2000</v>
      </c>
      <c r="H496" s="763">
        <v>2000</v>
      </c>
      <c r="I496" s="13" t="e">
        <f>+#REF!-#REF!</f>
        <v>#REF!</v>
      </c>
    </row>
    <row r="497" spans="1:10" x14ac:dyDescent="0.2">
      <c r="A497" s="71"/>
      <c r="B497" s="783" t="s">
        <v>1031</v>
      </c>
      <c r="C497" s="828" t="s">
        <v>1054</v>
      </c>
      <c r="D497" t="s">
        <v>44</v>
      </c>
      <c r="E497" s="593">
        <v>2500</v>
      </c>
      <c r="F497" s="616">
        <v>1000</v>
      </c>
      <c r="G497" s="743">
        <v>1000</v>
      </c>
      <c r="H497" s="763">
        <v>1000</v>
      </c>
      <c r="I497" s="13" t="e">
        <f>+#REF!-#REF!</f>
        <v>#REF!</v>
      </c>
    </row>
    <row r="498" spans="1:10" x14ac:dyDescent="0.2">
      <c r="A498" s="71"/>
      <c r="B498" s="783" t="s">
        <v>1031</v>
      </c>
      <c r="C498" s="828" t="s">
        <v>1052</v>
      </c>
      <c r="D498" s="9" t="s">
        <v>41</v>
      </c>
      <c r="E498" s="593">
        <v>20977</v>
      </c>
      <c r="F498" s="616">
        <v>21000</v>
      </c>
      <c r="G498" s="743">
        <v>21000</v>
      </c>
      <c r="H498" s="763">
        <v>21000</v>
      </c>
      <c r="I498" s="13" t="e">
        <f>+#REF!-#REF!</f>
        <v>#REF!</v>
      </c>
      <c r="J498" s="9" t="s">
        <v>471</v>
      </c>
    </row>
    <row r="499" spans="1:10" s="580" customFormat="1" x14ac:dyDescent="0.2">
      <c r="A499" s="71"/>
      <c r="B499" s="783">
        <v>1100271000</v>
      </c>
      <c r="C499" s="828">
        <v>6910.1009999999997</v>
      </c>
      <c r="D499" s="519" t="s">
        <v>1304</v>
      </c>
      <c r="E499" s="593">
        <v>9188</v>
      </c>
      <c r="F499" s="616">
        <v>0</v>
      </c>
      <c r="G499" s="743">
        <v>0</v>
      </c>
      <c r="H499" s="763">
        <v>0</v>
      </c>
      <c r="I499" s="13"/>
    </row>
    <row r="500" spans="1:10" x14ac:dyDescent="0.2">
      <c r="B500" s="797" t="s">
        <v>27</v>
      </c>
      <c r="C500" s="779"/>
      <c r="D500" s="252"/>
      <c r="E500" s="594">
        <f>SUM(E470:E499)</f>
        <v>380416</v>
      </c>
      <c r="F500" s="617">
        <f>SUM(F470:F499)</f>
        <v>332078</v>
      </c>
      <c r="G500" s="744">
        <f>SUM(G470:G499)</f>
        <v>352460</v>
      </c>
      <c r="H500" s="764">
        <f>SUM(H470:H499)</f>
        <v>382752</v>
      </c>
      <c r="I500" s="15" t="e">
        <f>SUM(I470:I498)</f>
        <v>#REF!</v>
      </c>
    </row>
    <row r="501" spans="1:10" x14ac:dyDescent="0.2">
      <c r="A501" s="71"/>
      <c r="B501" s="730"/>
      <c r="C501" s="805"/>
      <c r="E501" s="593"/>
      <c r="F501" s="616"/>
      <c r="G501" s="743"/>
      <c r="H501" s="763"/>
      <c r="I501" s="13"/>
    </row>
    <row r="502" spans="1:10" x14ac:dyDescent="0.2">
      <c r="A502" s="71"/>
      <c r="B502" s="783" t="s">
        <v>1232</v>
      </c>
      <c r="C502" s="828" t="s">
        <v>1231</v>
      </c>
      <c r="D502" t="s">
        <v>29</v>
      </c>
      <c r="E502" s="593">
        <v>4108</v>
      </c>
      <c r="F502" s="616">
        <v>2500</v>
      </c>
      <c r="G502" s="743">
        <v>2500</v>
      </c>
      <c r="H502" s="763">
        <v>2500</v>
      </c>
      <c r="I502" s="13" t="e">
        <f>+#REF!-#REF!</f>
        <v>#REF!</v>
      </c>
    </row>
    <row r="503" spans="1:10" x14ac:dyDescent="0.2">
      <c r="B503" s="797" t="s">
        <v>28</v>
      </c>
      <c r="C503" s="779"/>
      <c r="D503" s="252"/>
      <c r="E503" s="594">
        <f>SUM(E502)</f>
        <v>4108</v>
      </c>
      <c r="F503" s="617">
        <f>SUM(F502)</f>
        <v>2500</v>
      </c>
      <c r="G503" s="744">
        <f>SUM(G502)</f>
        <v>2500</v>
      </c>
      <c r="H503" s="764">
        <f>SUM(H502)</f>
        <v>2500</v>
      </c>
      <c r="I503" s="15" t="e">
        <f>SUM(I502)</f>
        <v>#REF!</v>
      </c>
    </row>
    <row r="504" spans="1:10" x14ac:dyDescent="0.2">
      <c r="A504" s="71"/>
      <c r="B504" s="730"/>
      <c r="C504" s="805"/>
      <c r="E504" s="593"/>
      <c r="F504" s="616"/>
      <c r="G504" s="743"/>
      <c r="H504" s="763"/>
      <c r="I504" s="13"/>
    </row>
    <row r="505" spans="1:10" x14ac:dyDescent="0.2">
      <c r="A505" s="71"/>
      <c r="B505" s="783" t="s">
        <v>1058</v>
      </c>
      <c r="C505" s="828" t="s">
        <v>1059</v>
      </c>
      <c r="D505" t="s">
        <v>660</v>
      </c>
      <c r="E505" s="593">
        <v>8000</v>
      </c>
      <c r="F505" s="616">
        <v>8000</v>
      </c>
      <c r="G505" s="743">
        <v>8000</v>
      </c>
      <c r="H505" s="763">
        <v>8000</v>
      </c>
      <c r="I505" s="13"/>
    </row>
    <row r="506" spans="1:10" x14ac:dyDescent="0.2">
      <c r="A506" s="71"/>
      <c r="B506" s="783" t="s">
        <v>1058</v>
      </c>
      <c r="C506" s="828" t="s">
        <v>1057</v>
      </c>
      <c r="D506" s="9" t="s">
        <v>378</v>
      </c>
      <c r="E506" s="593">
        <v>39463</v>
      </c>
      <c r="F506" s="616">
        <v>38032</v>
      </c>
      <c r="G506" s="743">
        <v>40117</v>
      </c>
      <c r="H506" s="763">
        <v>40117</v>
      </c>
      <c r="I506" s="13" t="e">
        <f>+#REF!-#REF!</f>
        <v>#REF!</v>
      </c>
      <c r="J506" s="81"/>
    </row>
    <row r="507" spans="1:10" x14ac:dyDescent="0.2">
      <c r="A507" s="71"/>
      <c r="B507" s="783" t="s">
        <v>1058</v>
      </c>
      <c r="C507" s="828" t="s">
        <v>903</v>
      </c>
      <c r="D507" s="9" t="s">
        <v>280</v>
      </c>
      <c r="E507" s="593">
        <v>14239</v>
      </c>
      <c r="F507" s="616">
        <v>13810</v>
      </c>
      <c r="G507" s="743">
        <v>14917</v>
      </c>
      <c r="H507" s="763">
        <v>14917</v>
      </c>
      <c r="I507" s="13" t="e">
        <f>+#REF!-#REF!</f>
        <v>#REF!</v>
      </c>
    </row>
    <row r="508" spans="1:10" x14ac:dyDescent="0.2">
      <c r="A508" s="71"/>
      <c r="B508" s="783" t="s">
        <v>1058</v>
      </c>
      <c r="C508" s="828" t="s">
        <v>1060</v>
      </c>
      <c r="D508" s="9" t="s">
        <v>440</v>
      </c>
      <c r="E508" s="593">
        <v>16154</v>
      </c>
      <c r="F508" s="616">
        <v>10986</v>
      </c>
      <c r="G508" s="743">
        <v>10986</v>
      </c>
      <c r="H508" s="763">
        <v>10986</v>
      </c>
      <c r="I508" s="13" t="e">
        <f>+#REF!-#REF!</f>
        <v>#REF!</v>
      </c>
    </row>
    <row r="509" spans="1:10" x14ac:dyDescent="0.2">
      <c r="A509" s="71"/>
      <c r="B509" s="783" t="s">
        <v>1058</v>
      </c>
      <c r="C509" s="828" t="s">
        <v>904</v>
      </c>
      <c r="D509" s="9" t="s">
        <v>155</v>
      </c>
      <c r="E509" s="593">
        <v>3631</v>
      </c>
      <c r="F509" s="616">
        <v>3522</v>
      </c>
      <c r="G509" s="743">
        <v>3681</v>
      </c>
      <c r="H509" s="763">
        <v>3681</v>
      </c>
      <c r="I509" s="13" t="e">
        <f>+#REF!-#REF!</f>
        <v>#REF!</v>
      </c>
    </row>
    <row r="510" spans="1:10" x14ac:dyDescent="0.2">
      <c r="A510" s="71"/>
      <c r="B510" s="783" t="s">
        <v>1058</v>
      </c>
      <c r="C510" s="828" t="s">
        <v>1064</v>
      </c>
      <c r="D510" s="9" t="s">
        <v>219</v>
      </c>
      <c r="E510" s="593">
        <v>15118</v>
      </c>
      <c r="F510" s="616">
        <v>15200</v>
      </c>
      <c r="G510" s="743">
        <v>15200</v>
      </c>
      <c r="H510" s="763">
        <v>15200</v>
      </c>
      <c r="I510" s="13" t="e">
        <f>+#REF!-#REF!</f>
        <v>#REF!</v>
      </c>
    </row>
    <row r="511" spans="1:10" x14ac:dyDescent="0.2">
      <c r="A511" s="71"/>
      <c r="B511" s="783" t="s">
        <v>1058</v>
      </c>
      <c r="C511" s="828" t="s">
        <v>1063</v>
      </c>
      <c r="D511" s="9" t="s">
        <v>229</v>
      </c>
      <c r="E511" s="593">
        <v>2760</v>
      </c>
      <c r="F511" s="616">
        <v>3000</v>
      </c>
      <c r="G511" s="743">
        <v>3000</v>
      </c>
      <c r="H511" s="763">
        <v>3000</v>
      </c>
      <c r="I511" s="13" t="e">
        <f>+#REF!-#REF!</f>
        <v>#REF!</v>
      </c>
    </row>
    <row r="512" spans="1:10" x14ac:dyDescent="0.2">
      <c r="A512" s="71"/>
      <c r="B512" s="783" t="s">
        <v>1058</v>
      </c>
      <c r="C512" s="828" t="s">
        <v>1062</v>
      </c>
      <c r="D512" s="9" t="s">
        <v>220</v>
      </c>
      <c r="E512" s="593">
        <v>1640</v>
      </c>
      <c r="F512" s="616">
        <v>1650</v>
      </c>
      <c r="G512" s="743">
        <v>1650</v>
      </c>
      <c r="H512" s="763">
        <v>1650</v>
      </c>
      <c r="I512" s="13" t="e">
        <f>+#REF!-#REF!</f>
        <v>#REF!</v>
      </c>
    </row>
    <row r="513" spans="1:13" x14ac:dyDescent="0.2">
      <c r="A513" s="71"/>
      <c r="B513" s="783" t="s">
        <v>1058</v>
      </c>
      <c r="C513" s="828" t="s">
        <v>1061</v>
      </c>
      <c r="D513" s="9" t="s">
        <v>221</v>
      </c>
      <c r="E513" s="593">
        <v>1240</v>
      </c>
      <c r="F513" s="616">
        <v>1250</v>
      </c>
      <c r="G513" s="743">
        <v>1650</v>
      </c>
      <c r="H513" s="763">
        <v>1650</v>
      </c>
      <c r="I513" s="13" t="e">
        <f>+#REF!-#REF!</f>
        <v>#REF!</v>
      </c>
    </row>
    <row r="514" spans="1:13" x14ac:dyDescent="0.2">
      <c r="A514" s="71"/>
      <c r="B514" s="783" t="s">
        <v>1058</v>
      </c>
      <c r="C514" s="828" t="s">
        <v>1065</v>
      </c>
      <c r="D514" s="9" t="s">
        <v>379</v>
      </c>
      <c r="E514" s="593">
        <v>2000</v>
      </c>
      <c r="F514" s="616">
        <v>2000</v>
      </c>
      <c r="G514" s="743">
        <v>2000</v>
      </c>
      <c r="H514" s="763">
        <v>2000</v>
      </c>
      <c r="I514" s="13" t="e">
        <f>+#REF!-#REF!</f>
        <v>#REF!</v>
      </c>
    </row>
    <row r="515" spans="1:13" x14ac:dyDescent="0.2">
      <c r="A515" s="71"/>
      <c r="B515" s="783" t="s">
        <v>1058</v>
      </c>
      <c r="C515" s="828" t="s">
        <v>1066</v>
      </c>
      <c r="D515" s="9" t="s">
        <v>488</v>
      </c>
      <c r="E515" s="593">
        <v>0</v>
      </c>
      <c r="F515" s="616">
        <v>0</v>
      </c>
      <c r="G515" s="743">
        <v>0</v>
      </c>
      <c r="H515" s="763">
        <v>0</v>
      </c>
      <c r="I515" s="13" t="e">
        <f>+#REF!-#REF!</f>
        <v>#REF!</v>
      </c>
    </row>
    <row r="516" spans="1:13" x14ac:dyDescent="0.2">
      <c r="A516" s="71"/>
      <c r="B516" s="783" t="s">
        <v>1058</v>
      </c>
      <c r="C516" s="828" t="s">
        <v>1070</v>
      </c>
      <c r="D516" s="9" t="s">
        <v>222</v>
      </c>
      <c r="E516" s="593">
        <v>3400</v>
      </c>
      <c r="F516" s="616">
        <v>3400</v>
      </c>
      <c r="G516" s="743">
        <v>3400</v>
      </c>
      <c r="H516" s="763">
        <v>3400</v>
      </c>
      <c r="I516" s="13" t="e">
        <f>+#REF!-#REF!</f>
        <v>#REF!</v>
      </c>
      <c r="K516" s="102"/>
    </row>
    <row r="517" spans="1:13" x14ac:dyDescent="0.2">
      <c r="A517" s="71"/>
      <c r="B517" s="783" t="s">
        <v>1058</v>
      </c>
      <c r="C517" s="828" t="s">
        <v>1067</v>
      </c>
      <c r="D517" s="9" t="s">
        <v>49</v>
      </c>
      <c r="E517" s="593">
        <v>700</v>
      </c>
      <c r="F517" s="616">
        <v>700</v>
      </c>
      <c r="G517" s="743">
        <v>700</v>
      </c>
      <c r="H517" s="763">
        <v>700</v>
      </c>
      <c r="I517" s="13" t="e">
        <f>+#REF!-#REF!</f>
        <v>#REF!</v>
      </c>
    </row>
    <row r="518" spans="1:13" x14ac:dyDescent="0.2">
      <c r="A518" s="71"/>
      <c r="B518" s="783" t="s">
        <v>1058</v>
      </c>
      <c r="C518" s="828" t="s">
        <v>1068</v>
      </c>
      <c r="D518" s="9" t="s">
        <v>380</v>
      </c>
      <c r="E518" s="593">
        <v>2500</v>
      </c>
      <c r="F518" s="616">
        <v>2500</v>
      </c>
      <c r="G518" s="743">
        <v>2500</v>
      </c>
      <c r="H518" s="763">
        <v>2500</v>
      </c>
      <c r="I518" s="13" t="e">
        <f>+#REF!-#REF!</f>
        <v>#REF!</v>
      </c>
    </row>
    <row r="519" spans="1:13" x14ac:dyDescent="0.2">
      <c r="A519" s="71"/>
      <c r="B519" s="783" t="s">
        <v>1058</v>
      </c>
      <c r="C519" s="828" t="s">
        <v>1069</v>
      </c>
      <c r="D519" s="9" t="s">
        <v>100</v>
      </c>
      <c r="E519" s="593">
        <v>2500</v>
      </c>
      <c r="F519" s="616">
        <v>2500</v>
      </c>
      <c r="G519" s="743">
        <v>2500</v>
      </c>
      <c r="H519" s="763">
        <v>2500</v>
      </c>
      <c r="I519" s="13" t="e">
        <f>+#REF!-#REF!</f>
        <v>#REF!</v>
      </c>
    </row>
    <row r="520" spans="1:13" x14ac:dyDescent="0.2">
      <c r="B520" s="797" t="s">
        <v>218</v>
      </c>
      <c r="C520" s="779"/>
      <c r="D520" s="252"/>
      <c r="E520" s="594">
        <f>SUM(E505:E519)</f>
        <v>113345</v>
      </c>
      <c r="F520" s="617">
        <f>SUM(F505:F519)</f>
        <v>106550</v>
      </c>
      <c r="G520" s="744">
        <f>SUM(G505:G519)</f>
        <v>110301</v>
      </c>
      <c r="H520" s="764">
        <f>SUM(H505:H519)</f>
        <v>110301</v>
      </c>
      <c r="I520" s="15" t="e">
        <f>SUM(I506:I519)</f>
        <v>#REF!</v>
      </c>
      <c r="J520" s="5"/>
      <c r="K520" s="5"/>
      <c r="L520" s="5"/>
      <c r="M520" s="5"/>
    </row>
    <row r="521" spans="1:13" x14ac:dyDescent="0.2">
      <c r="A521" s="71"/>
      <c r="B521" s="730"/>
      <c r="C521" s="805"/>
      <c r="E521" s="593"/>
      <c r="F521" s="616"/>
      <c r="G521" s="743"/>
      <c r="H521" s="763"/>
      <c r="I521" s="13"/>
    </row>
    <row r="522" spans="1:13" x14ac:dyDescent="0.2">
      <c r="A522" s="71"/>
      <c r="B522" s="783" t="s">
        <v>1076</v>
      </c>
      <c r="C522" s="828" t="s">
        <v>1075</v>
      </c>
      <c r="D522" s="9" t="s">
        <v>613</v>
      </c>
      <c r="E522" s="593">
        <v>51</v>
      </c>
      <c r="F522" s="616">
        <v>51</v>
      </c>
      <c r="G522" s="743">
        <v>51</v>
      </c>
      <c r="H522" s="763">
        <v>51</v>
      </c>
      <c r="I522" s="13" t="e">
        <f>+#REF!-#REF!</f>
        <v>#REF!</v>
      </c>
    </row>
    <row r="523" spans="1:13" x14ac:dyDescent="0.2">
      <c r="A523" s="71"/>
      <c r="B523" s="783" t="s">
        <v>1074</v>
      </c>
      <c r="C523" s="828" t="s">
        <v>1073</v>
      </c>
      <c r="D523" t="s">
        <v>107</v>
      </c>
      <c r="E523" s="593">
        <v>1120</v>
      </c>
      <c r="F523" s="616">
        <v>0</v>
      </c>
      <c r="G523" s="743">
        <v>0</v>
      </c>
      <c r="H523" s="763">
        <v>0</v>
      </c>
      <c r="I523" s="13" t="e">
        <f>+#REF!-#REF!</f>
        <v>#REF!</v>
      </c>
    </row>
    <row r="524" spans="1:13" x14ac:dyDescent="0.2">
      <c r="A524" s="71"/>
      <c r="B524" s="783" t="s">
        <v>1072</v>
      </c>
      <c r="C524" s="828" t="s">
        <v>1071</v>
      </c>
      <c r="D524" t="s">
        <v>108</v>
      </c>
      <c r="E524" s="593">
        <v>40377</v>
      </c>
      <c r="F524" s="616">
        <v>40377</v>
      </c>
      <c r="G524" s="743">
        <v>40377</v>
      </c>
      <c r="H524" s="763">
        <v>40377</v>
      </c>
      <c r="I524" s="13" t="e">
        <f>+#REF!-#REF!</f>
        <v>#REF!</v>
      </c>
    </row>
    <row r="525" spans="1:13" x14ac:dyDescent="0.2">
      <c r="B525" s="797" t="s">
        <v>50</v>
      </c>
      <c r="C525" s="779"/>
      <c r="D525" s="252"/>
      <c r="E525" s="594">
        <f>SUM(E522:E524)</f>
        <v>41548</v>
      </c>
      <c r="F525" s="617">
        <f>SUM(F522:F524)</f>
        <v>40428</v>
      </c>
      <c r="G525" s="744">
        <f>SUM(G522:G524)</f>
        <v>40428</v>
      </c>
      <c r="H525" s="764">
        <f>SUM(H522:H524)</f>
        <v>40428</v>
      </c>
      <c r="I525" s="15" t="e">
        <f>SUM(I522:I524)</f>
        <v>#REF!</v>
      </c>
      <c r="J525" s="5"/>
      <c r="K525" s="5"/>
      <c r="L525" s="5"/>
      <c r="M525" s="5"/>
    </row>
    <row r="526" spans="1:13" x14ac:dyDescent="0.2">
      <c r="A526" s="76"/>
      <c r="B526" s="798"/>
      <c r="C526" s="780"/>
      <c r="D526" s="5"/>
      <c r="E526" s="593"/>
      <c r="F526" s="616"/>
      <c r="G526" s="743"/>
      <c r="H526" s="763"/>
      <c r="I526" s="13"/>
      <c r="J526" s="5"/>
      <c r="K526" s="5"/>
      <c r="L526" s="5"/>
      <c r="M526" s="5"/>
    </row>
    <row r="527" spans="1:13" hidden="1" x14ac:dyDescent="0.2">
      <c r="A527" s="76"/>
      <c r="B527" s="798"/>
      <c r="C527" s="780"/>
      <c r="D527" s="5"/>
      <c r="E527" s="593"/>
      <c r="F527" s="616"/>
      <c r="G527" s="743"/>
      <c r="H527" s="763"/>
      <c r="I527" s="13"/>
      <c r="J527" s="5"/>
      <c r="K527" s="5"/>
      <c r="L527" s="5"/>
      <c r="M527" s="5"/>
    </row>
    <row r="528" spans="1:13" hidden="1" x14ac:dyDescent="0.2">
      <c r="A528" s="76"/>
      <c r="B528" s="798"/>
      <c r="C528" s="780"/>
      <c r="D528" s="5"/>
      <c r="E528" s="593"/>
      <c r="F528" s="616"/>
      <c r="G528" s="743"/>
      <c r="H528" s="763"/>
      <c r="I528" s="13"/>
      <c r="J528" s="5"/>
      <c r="K528" s="5"/>
      <c r="L528" s="5"/>
      <c r="M528" s="5"/>
    </row>
    <row r="529" spans="1:13" hidden="1" x14ac:dyDescent="0.2">
      <c r="A529" s="76"/>
      <c r="B529" s="798"/>
      <c r="C529" s="780"/>
      <c r="D529" s="5"/>
      <c r="E529" s="593"/>
      <c r="F529" s="616"/>
      <c r="G529" s="743"/>
      <c r="H529" s="763"/>
      <c r="I529" s="13"/>
      <c r="J529" s="5"/>
      <c r="K529" s="5"/>
      <c r="L529" s="5"/>
      <c r="M529" s="5"/>
    </row>
    <row r="530" spans="1:13" hidden="1" x14ac:dyDescent="0.2">
      <c r="A530" s="76"/>
      <c r="B530" s="798"/>
      <c r="C530" s="780"/>
      <c r="D530" s="5"/>
      <c r="E530" s="593"/>
      <c r="F530" s="616"/>
      <c r="G530" s="743"/>
      <c r="H530" s="763"/>
      <c r="I530" s="13"/>
      <c r="J530" s="5"/>
      <c r="K530" s="5"/>
      <c r="L530" s="5"/>
      <c r="M530" s="5"/>
    </row>
    <row r="531" spans="1:13" hidden="1" x14ac:dyDescent="0.2">
      <c r="A531" s="76"/>
      <c r="B531" s="798"/>
      <c r="C531" s="780"/>
      <c r="D531" s="5"/>
      <c r="E531" s="593">
        <v>0</v>
      </c>
      <c r="F531" s="616">
        <v>0</v>
      </c>
      <c r="G531" s="743">
        <v>0</v>
      </c>
      <c r="H531" s="763">
        <v>0</v>
      </c>
      <c r="I531" s="13"/>
      <c r="J531" s="5"/>
      <c r="K531" s="5"/>
      <c r="L531" s="5"/>
      <c r="M531" s="5"/>
    </row>
    <row r="532" spans="1:13" ht="13.5" thickBot="1" x14ac:dyDescent="0.25">
      <c r="A532" s="258"/>
      <c r="B532" s="811"/>
      <c r="C532" s="812"/>
      <c r="D532" s="229"/>
      <c r="E532" s="598">
        <v>0</v>
      </c>
      <c r="F532" s="621">
        <v>0</v>
      </c>
      <c r="G532" s="748">
        <v>0</v>
      </c>
      <c r="H532" s="769">
        <v>0</v>
      </c>
      <c r="I532" s="259"/>
    </row>
    <row r="533" spans="1:13" ht="13.5" thickBot="1" x14ac:dyDescent="0.25">
      <c r="B533" s="801" t="s">
        <v>14</v>
      </c>
      <c r="C533" s="804"/>
      <c r="D533" s="794"/>
      <c r="E533" s="598">
        <f>SUM(E525+E520+E503+E500+E468+E463+E429+E424+E402+E384+E356+E347+E336+E331+E324+E318+E309+E298+E286+E268+E227+E217+E201+E146+E129+E120+E111+E103+E84+E67+E44)</f>
        <v>5134717.82</v>
      </c>
      <c r="F533" s="621">
        <f>SUM(F525+F520+F503+F500+F468+F463+F429+F424+F402+F384+F356+F347+F336+F331+F324+F318+F309+F298+F286+F268+F227+F217+F201+F146+F129+F120+F111+F103+F84+F67+F44)</f>
        <v>4384109</v>
      </c>
      <c r="G533" s="748">
        <f>SUM(G525+G520+G503+G500+G468+G463+G429+G424+G402+G384+G356+G347+G336+G331+G324+G318+G309+G298+G286+G268+G227+G217+G201+G146+G129+G120+G111+G103+G84+G67+G44)</f>
        <v>4616886</v>
      </c>
      <c r="H533" s="769">
        <f>SUM(H525+H520+H503+H500+H468+H463+H429+H424+H402+H384+H356+H347+H336+H331+H324+H318+H309+H298+H286+H268+H227+H217+H201+H146+H129+H120+H111+H103+H84+H67+H44+H184+H179+H172)</f>
        <v>4952782</v>
      </c>
      <c r="I533" s="248" t="e">
        <f>+I67+I84+I103+I286+I111+I172+I201+I217+I268+I309+I318+#REF!+#REF!+I336+I347+I356+I384+I402+I424+I429+I463+I500+I503+I525+I146+I520++I179+I184+I120+I129+I298</f>
        <v>#REF!</v>
      </c>
    </row>
    <row r="534" spans="1:13" x14ac:dyDescent="0.2">
      <c r="A534" s="71"/>
      <c r="B534" s="730"/>
      <c r="C534" s="805"/>
      <c r="E534" s="593"/>
      <c r="F534" s="616"/>
      <c r="G534" s="743"/>
      <c r="H534" s="763"/>
      <c r="I534" s="13"/>
    </row>
    <row r="535" spans="1:13" ht="15.75" x14ac:dyDescent="0.25">
      <c r="A535" s="940" t="s">
        <v>30</v>
      </c>
      <c r="B535" s="940"/>
      <c r="C535" s="940"/>
      <c r="D535" s="940"/>
      <c r="E535" s="756">
        <f>'General Revenue'!E96-'General Expenses'!E533</f>
        <v>425097.59999999963</v>
      </c>
      <c r="F535" s="622">
        <f>'General Revenue'!F96-'General Expenses'!F533</f>
        <v>-528357</v>
      </c>
      <c r="G535" s="749">
        <f>'General Revenue'!G96-'General Expenses'!G533</f>
        <v>-78941</v>
      </c>
      <c r="H535" s="770">
        <f>'General Revenue'!H96-'General Expenses'!H533</f>
        <v>-252056</v>
      </c>
      <c r="I535" s="486"/>
      <c r="J535" s="256"/>
      <c r="K535" s="256"/>
      <c r="L535" s="256"/>
      <c r="M535" s="256"/>
    </row>
    <row r="536" spans="1:13" ht="18.399999999999999" customHeight="1" x14ac:dyDescent="0.2">
      <c r="A536" s="71"/>
      <c r="B536" s="730"/>
      <c r="C536" s="805"/>
      <c r="D536" s="603" t="s">
        <v>756</v>
      </c>
      <c r="E536" s="253"/>
      <c r="F536" s="253"/>
      <c r="G536" s="253"/>
      <c r="H536" s="253"/>
      <c r="I536" s="13"/>
    </row>
    <row r="537" spans="1:13" ht="18.95" customHeight="1" thickBot="1" x14ac:dyDescent="0.3">
      <c r="A537" s="71"/>
      <c r="B537" s="730"/>
      <c r="C537" s="805"/>
      <c r="E537" s="512"/>
      <c r="F537" s="512">
        <v>45473</v>
      </c>
      <c r="G537" s="512">
        <v>45473</v>
      </c>
      <c r="H537" s="512">
        <v>45473</v>
      </c>
      <c r="I537" s="13"/>
      <c r="L537" s="311"/>
      <c r="M537" s="311"/>
    </row>
    <row r="538" spans="1:13" ht="16.5" thickBot="1" x14ac:dyDescent="0.3">
      <c r="A538" s="71"/>
      <c r="B538" s="730"/>
      <c r="C538" s="805"/>
      <c r="D538" s="511" t="s">
        <v>743</v>
      </c>
      <c r="E538" s="601">
        <v>1006874</v>
      </c>
      <c r="F538" s="513">
        <f>E538+F535</f>
        <v>478517</v>
      </c>
      <c r="G538" s="513">
        <f>E538+G535</f>
        <v>927933</v>
      </c>
      <c r="H538" s="513">
        <f>E538+H535</f>
        <v>754818</v>
      </c>
      <c r="I538" s="256"/>
      <c r="J538" s="256"/>
      <c r="L538" s="311"/>
      <c r="M538" s="311"/>
    </row>
    <row r="539" spans="1:13" x14ac:dyDescent="0.2">
      <c r="E539" s="604"/>
      <c r="F539" s="605">
        <f>F538/F533</f>
        <v>0.10914806178404779</v>
      </c>
      <c r="G539" s="605">
        <f>G538/G533</f>
        <v>0.200986769004043</v>
      </c>
      <c r="H539" s="605">
        <f>H538/H533</f>
        <v>0.1524028313784051</v>
      </c>
      <c r="I539" s="9"/>
      <c r="L539" s="311"/>
      <c r="M539" s="311"/>
    </row>
    <row r="540" spans="1:13" ht="15" x14ac:dyDescent="0.25">
      <c r="B540" s="814" t="s">
        <v>1425</v>
      </c>
      <c r="C540" s="815"/>
      <c r="D540" s="795"/>
      <c r="E540" s="13"/>
      <c r="I540" s="13"/>
      <c r="L540" s="311"/>
      <c r="M540" s="311"/>
    </row>
    <row r="541" spans="1:13" ht="15" x14ac:dyDescent="0.25">
      <c r="B541" s="814" t="s">
        <v>1426</v>
      </c>
      <c r="C541" s="815"/>
      <c r="D541" s="795"/>
      <c r="E541" s="13"/>
      <c r="I541" s="13"/>
      <c r="L541" s="311"/>
      <c r="M541" s="311"/>
    </row>
    <row r="542" spans="1:13" ht="15" x14ac:dyDescent="0.25">
      <c r="B542" s="814" t="s">
        <v>1427</v>
      </c>
      <c r="C542" s="815"/>
      <c r="D542" s="795"/>
    </row>
  </sheetData>
  <mergeCells count="1">
    <mergeCell ref="A535:D535"/>
  </mergeCells>
  <phoneticPr fontId="5" type="noConversion"/>
  <printOptions horizontalCentered="1" gridLines="1"/>
  <pageMargins left="0.22" right="0.25" top="0.35" bottom="0.41" header="0.41" footer="0.18"/>
  <pageSetup scale="87" fitToHeight="0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19636-D642-4809-96E5-C7A2A0FA3EBB}">
  <sheetPr>
    <tabColor rgb="FF92D050"/>
    <pageSetUpPr fitToPage="1"/>
  </sheetPr>
  <dimension ref="A1:T92"/>
  <sheetViews>
    <sheetView tabSelected="1" zoomScaleNormal="100" workbookViewId="0">
      <pane xSplit="5" ySplit="7" topLeftCell="F44" activePane="bottomRight" state="frozen"/>
      <selection activeCell="G83" sqref="G83:G84"/>
      <selection pane="topRight" activeCell="G83" sqref="G83:G84"/>
      <selection pane="bottomLeft" activeCell="G83" sqref="G83:G84"/>
      <selection pane="bottomRight" activeCell="M1" sqref="M1"/>
    </sheetView>
  </sheetViews>
  <sheetFormatPr defaultColWidth="9.140625" defaultRowHeight="12.75" x14ac:dyDescent="0.2"/>
  <cols>
    <col min="1" max="1" width="8.7109375" style="845" customWidth="1"/>
    <col min="2" max="2" width="12.28515625" style="844" customWidth="1"/>
    <col min="3" max="3" width="10" style="844" customWidth="1"/>
    <col min="4" max="4" width="33.28515625" style="842" customWidth="1"/>
    <col min="5" max="5" width="15.85546875" style="842" hidden="1" customWidth="1"/>
    <col min="6" max="6" width="16.140625" style="261" hidden="1" customWidth="1"/>
    <col min="7" max="7" width="14.85546875" style="485" hidden="1" customWidth="1"/>
    <col min="8" max="8" width="16.5703125" style="842" hidden="1" customWidth="1"/>
    <col min="9" max="12" width="16.5703125" style="842" customWidth="1"/>
    <col min="13" max="13" width="14.7109375" style="843" customWidth="1"/>
    <col min="14" max="14" width="0.85546875" style="842" customWidth="1"/>
    <col min="15" max="15" width="14.85546875" style="261" hidden="1" customWidth="1"/>
    <col min="16" max="16" width="11.140625" style="843" hidden="1" customWidth="1"/>
    <col min="17" max="17" width="2.85546875" style="842" customWidth="1"/>
    <col min="18" max="18" width="7.85546875" style="842" bestFit="1" customWidth="1"/>
    <col min="19" max="19" width="19.5703125" style="842" bestFit="1" customWidth="1"/>
    <col min="20" max="20" width="7.85546875" style="842" bestFit="1" customWidth="1"/>
    <col min="21" max="16384" width="9.140625" style="842"/>
  </cols>
  <sheetData>
    <row r="1" spans="1:20" ht="13.5" thickBot="1" x14ac:dyDescent="0.25">
      <c r="M1" s="931">
        <v>45343</v>
      </c>
      <c r="R1" s="930">
        <v>0.28000000000000003</v>
      </c>
      <c r="S1" s="929" t="s">
        <v>381</v>
      </c>
      <c r="T1" s="897" t="s">
        <v>733</v>
      </c>
    </row>
    <row r="2" spans="1:20" s="896" customFormat="1" ht="23.25" x14ac:dyDescent="0.35">
      <c r="A2" s="909" t="s">
        <v>51</v>
      </c>
      <c r="B2" s="909"/>
      <c r="C2" s="909"/>
      <c r="D2" s="909"/>
      <c r="E2" s="909"/>
      <c r="M2" s="907"/>
      <c r="P2" s="907"/>
    </row>
    <row r="3" spans="1:20" s="896" customFormat="1" ht="20.25" x14ac:dyDescent="0.3">
      <c r="A3" s="896" t="s">
        <v>54</v>
      </c>
      <c r="F3" s="928"/>
      <c r="G3" s="928"/>
      <c r="M3" s="907"/>
      <c r="P3" s="907"/>
    </row>
    <row r="4" spans="1:20" s="896" customFormat="1" ht="24.75" customHeight="1" x14ac:dyDescent="0.3">
      <c r="A4" s="901"/>
      <c r="B4" s="901"/>
      <c r="C4" s="901"/>
      <c r="D4" s="901"/>
      <c r="E4" s="901"/>
      <c r="G4" s="901"/>
      <c r="M4" s="260"/>
      <c r="P4" s="243"/>
    </row>
    <row r="5" spans="1:20" s="922" customFormat="1" ht="31.5" customHeight="1" x14ac:dyDescent="0.25">
      <c r="A5" s="927"/>
      <c r="B5" s="926"/>
      <c r="C5" s="926"/>
      <c r="E5" s="921" t="s">
        <v>614</v>
      </c>
      <c r="F5" s="944" t="s">
        <v>732</v>
      </c>
      <c r="G5" s="510" t="s">
        <v>686</v>
      </c>
      <c r="H5" s="516" t="s">
        <v>707</v>
      </c>
      <c r="I5" s="524" t="s">
        <v>759</v>
      </c>
      <c r="J5" s="636" t="s">
        <v>759</v>
      </c>
      <c r="K5" s="639" t="s">
        <v>1305</v>
      </c>
      <c r="L5" s="925" t="s">
        <v>1305</v>
      </c>
      <c r="M5" s="924"/>
      <c r="N5" s="923"/>
      <c r="O5" s="445" t="s">
        <v>619</v>
      </c>
      <c r="P5" s="245" t="s">
        <v>620</v>
      </c>
    </row>
    <row r="6" spans="1:20" s="915" customFormat="1" ht="12.75" customHeight="1" x14ac:dyDescent="0.2">
      <c r="E6" s="921" t="s">
        <v>96</v>
      </c>
      <c r="F6" s="945"/>
      <c r="G6" s="506" t="s">
        <v>97</v>
      </c>
      <c r="H6" s="517" t="s">
        <v>757</v>
      </c>
      <c r="I6" s="525" t="s">
        <v>734</v>
      </c>
      <c r="J6" s="637" t="s">
        <v>757</v>
      </c>
      <c r="K6" s="640" t="s">
        <v>734</v>
      </c>
      <c r="L6" s="920" t="s">
        <v>1430</v>
      </c>
      <c r="M6" s="919" t="s">
        <v>96</v>
      </c>
      <c r="O6" s="446" t="s">
        <v>392</v>
      </c>
      <c r="P6" s="245" t="s">
        <v>603</v>
      </c>
    </row>
    <row r="7" spans="1:20" s="915" customFormat="1" ht="12.75" customHeight="1" x14ac:dyDescent="0.2">
      <c r="A7" s="915" t="s">
        <v>1</v>
      </c>
      <c r="D7" s="915" t="s">
        <v>2</v>
      </c>
      <c r="E7" s="918" t="s">
        <v>97</v>
      </c>
      <c r="F7" s="945"/>
      <c r="G7" s="507" t="s">
        <v>3</v>
      </c>
      <c r="H7" s="518" t="s">
        <v>3</v>
      </c>
      <c r="I7" s="526" t="s">
        <v>3</v>
      </c>
      <c r="J7" s="638" t="s">
        <v>3</v>
      </c>
      <c r="K7" s="641" t="s">
        <v>3</v>
      </c>
      <c r="L7" s="917" t="s">
        <v>3</v>
      </c>
      <c r="M7" s="916" t="s">
        <v>97</v>
      </c>
      <c r="O7" s="447" t="s">
        <v>3</v>
      </c>
      <c r="P7" s="246" t="s">
        <v>52</v>
      </c>
    </row>
    <row r="8" spans="1:20" x14ac:dyDescent="0.2">
      <c r="E8" s="888"/>
      <c r="F8" s="455"/>
      <c r="G8" s="508"/>
      <c r="H8" s="860"/>
      <c r="I8" s="859"/>
      <c r="J8" s="858"/>
      <c r="K8" s="857"/>
      <c r="L8" s="856"/>
      <c r="O8" s="454"/>
    </row>
    <row r="9" spans="1:20" ht="15" x14ac:dyDescent="0.25">
      <c r="A9" s="845">
        <v>11162</v>
      </c>
      <c r="B9" s="913" t="s">
        <v>876</v>
      </c>
      <c r="C9" s="913" t="s">
        <v>877</v>
      </c>
      <c r="D9" s="842" t="s">
        <v>61</v>
      </c>
      <c r="E9" s="888">
        <v>39660</v>
      </c>
      <c r="F9" s="441">
        <v>34881.9</v>
      </c>
      <c r="G9" s="505">
        <v>6411</v>
      </c>
      <c r="H9" s="887">
        <v>1846</v>
      </c>
      <c r="I9" s="521">
        <v>26000</v>
      </c>
      <c r="J9" s="587">
        <v>18155</v>
      </c>
      <c r="K9" s="612">
        <v>15000</v>
      </c>
      <c r="L9" s="739">
        <v>150</v>
      </c>
      <c r="M9" s="843">
        <v>0</v>
      </c>
      <c r="O9" s="448" t="e">
        <f>+#REF!</f>
        <v>#REF!</v>
      </c>
      <c r="P9" s="843" t="e">
        <f>+O9-#REF!</f>
        <v>#REF!</v>
      </c>
    </row>
    <row r="10" spans="1:20" ht="15" x14ac:dyDescent="0.25">
      <c r="A10" s="845">
        <v>11163</v>
      </c>
      <c r="B10" s="913" t="s">
        <v>876</v>
      </c>
      <c r="C10" s="913" t="s">
        <v>878</v>
      </c>
      <c r="D10" s="842" t="s">
        <v>60</v>
      </c>
      <c r="E10" s="888">
        <v>20321</v>
      </c>
      <c r="F10" s="441"/>
      <c r="G10" s="505"/>
      <c r="H10" s="865">
        <v>0</v>
      </c>
      <c r="I10" s="521">
        <v>0</v>
      </c>
      <c r="J10" s="587">
        <v>0</v>
      </c>
      <c r="K10" s="612">
        <v>0</v>
      </c>
      <c r="L10" s="739">
        <v>0</v>
      </c>
      <c r="M10" s="843">
        <v>0</v>
      </c>
      <c r="O10" s="448" t="e">
        <f>+#REF!</f>
        <v>#REF!</v>
      </c>
      <c r="P10" s="843" t="e">
        <f>+O10-#REF!</f>
        <v>#REF!</v>
      </c>
    </row>
    <row r="11" spans="1:20" ht="15" x14ac:dyDescent="0.25">
      <c r="A11" s="845">
        <v>11164</v>
      </c>
      <c r="B11" s="913" t="s">
        <v>876</v>
      </c>
      <c r="C11" s="913" t="s">
        <v>879</v>
      </c>
      <c r="D11" s="842" t="s">
        <v>62</v>
      </c>
      <c r="E11" s="888">
        <v>274</v>
      </c>
      <c r="F11" s="441">
        <v>20</v>
      </c>
      <c r="G11" s="505">
        <v>0</v>
      </c>
      <c r="H11" s="865">
        <v>0</v>
      </c>
      <c r="I11" s="521">
        <v>80</v>
      </c>
      <c r="J11" s="587">
        <v>463</v>
      </c>
      <c r="K11" s="612">
        <v>100</v>
      </c>
      <c r="L11" s="739">
        <v>210</v>
      </c>
      <c r="M11" s="843">
        <v>0</v>
      </c>
      <c r="O11" s="448" t="e">
        <f>+#REF!</f>
        <v>#REF!</v>
      </c>
      <c r="P11" s="843" t="e">
        <f>+O11-#REF!</f>
        <v>#REF!</v>
      </c>
    </row>
    <row r="12" spans="1:20" ht="15" x14ac:dyDescent="0.25">
      <c r="A12" s="845">
        <v>11165</v>
      </c>
      <c r="B12" s="913" t="s">
        <v>876</v>
      </c>
      <c r="C12" s="913" t="s">
        <v>880</v>
      </c>
      <c r="D12" s="842" t="s">
        <v>63</v>
      </c>
      <c r="E12" s="888">
        <v>0</v>
      </c>
      <c r="F12" s="441"/>
      <c r="G12" s="505"/>
      <c r="H12" s="865"/>
      <c r="I12" s="521">
        <v>0</v>
      </c>
      <c r="J12" s="587">
        <v>0</v>
      </c>
      <c r="K12" s="612">
        <v>0</v>
      </c>
      <c r="L12" s="739">
        <v>0</v>
      </c>
      <c r="M12" s="843">
        <v>0</v>
      </c>
      <c r="O12" s="448" t="e">
        <f>+#REF!</f>
        <v>#REF!</v>
      </c>
      <c r="P12" s="843" t="e">
        <f>+O12-#REF!</f>
        <v>#REF!</v>
      </c>
    </row>
    <row r="13" spans="1:20" ht="15" x14ac:dyDescent="0.25">
      <c r="A13" s="845">
        <v>11166</v>
      </c>
      <c r="B13" s="913" t="s">
        <v>876</v>
      </c>
      <c r="C13" s="913" t="s">
        <v>881</v>
      </c>
      <c r="D13" s="842" t="s">
        <v>544</v>
      </c>
      <c r="E13" s="888">
        <v>0</v>
      </c>
      <c r="F13" s="441"/>
      <c r="G13" s="505"/>
      <c r="H13" s="865"/>
      <c r="I13" s="521">
        <v>0</v>
      </c>
      <c r="J13" s="587">
        <v>0</v>
      </c>
      <c r="K13" s="612">
        <v>0</v>
      </c>
      <c r="L13" s="739">
        <v>0</v>
      </c>
      <c r="M13" s="843">
        <v>0</v>
      </c>
      <c r="O13" s="448" t="e">
        <f>+#REF!</f>
        <v>#REF!</v>
      </c>
      <c r="P13" s="843" t="e">
        <f>+O13-#REF!</f>
        <v>#REF!</v>
      </c>
    </row>
    <row r="14" spans="1:20" ht="15" x14ac:dyDescent="0.25">
      <c r="A14" s="845">
        <v>11197</v>
      </c>
      <c r="B14" s="913" t="s">
        <v>876</v>
      </c>
      <c r="C14" s="913" t="s">
        <v>882</v>
      </c>
      <c r="D14" s="842" t="s">
        <v>545</v>
      </c>
      <c r="E14" s="888"/>
      <c r="F14" s="441"/>
      <c r="G14" s="505">
        <v>260</v>
      </c>
      <c r="H14" s="865"/>
      <c r="I14" s="521">
        <v>0</v>
      </c>
      <c r="J14" s="587">
        <v>0</v>
      </c>
      <c r="K14" s="612">
        <v>0</v>
      </c>
      <c r="L14" s="739">
        <v>0</v>
      </c>
      <c r="M14" s="843">
        <v>0</v>
      </c>
      <c r="O14" s="448" t="e">
        <f>+#REF!</f>
        <v>#REF!</v>
      </c>
      <c r="P14" s="843" t="e">
        <f>+O14-#REF!</f>
        <v>#REF!</v>
      </c>
    </row>
    <row r="15" spans="1:20" ht="15" x14ac:dyDescent="0.25">
      <c r="A15" s="845">
        <v>11168</v>
      </c>
      <c r="B15" s="913" t="s">
        <v>876</v>
      </c>
      <c r="C15" s="913" t="s">
        <v>883</v>
      </c>
      <c r="D15" s="842" t="s">
        <v>64</v>
      </c>
      <c r="E15" s="888">
        <v>623</v>
      </c>
      <c r="F15" s="441">
        <v>5798.37</v>
      </c>
      <c r="G15" s="505">
        <v>216.99</v>
      </c>
      <c r="H15" s="865">
        <v>83</v>
      </c>
      <c r="I15" s="521">
        <v>0</v>
      </c>
      <c r="J15" s="587">
        <v>305</v>
      </c>
      <c r="K15" s="612">
        <v>0</v>
      </c>
      <c r="L15" s="739">
        <v>47</v>
      </c>
      <c r="M15" s="843">
        <v>0</v>
      </c>
      <c r="O15" s="448" t="e">
        <f>+#REF!</f>
        <v>#REF!</v>
      </c>
      <c r="P15" s="843" t="e">
        <f>+O15-#REF!</f>
        <v>#REF!</v>
      </c>
    </row>
    <row r="16" spans="1:20" ht="15" x14ac:dyDescent="0.25">
      <c r="A16" s="845">
        <v>11169</v>
      </c>
      <c r="B16" s="913" t="s">
        <v>876</v>
      </c>
      <c r="C16" s="913" t="s">
        <v>884</v>
      </c>
      <c r="D16" s="842" t="s">
        <v>65</v>
      </c>
      <c r="E16" s="888">
        <v>0</v>
      </c>
      <c r="F16" s="441"/>
      <c r="G16" s="505"/>
      <c r="H16" s="865"/>
      <c r="I16" s="521">
        <v>0</v>
      </c>
      <c r="J16" s="587">
        <v>310</v>
      </c>
      <c r="K16" s="612">
        <v>0</v>
      </c>
      <c r="L16" s="739">
        <v>0</v>
      </c>
      <c r="M16" s="843">
        <v>0</v>
      </c>
      <c r="O16" s="448" t="e">
        <f>+#REF!</f>
        <v>#REF!</v>
      </c>
      <c r="P16" s="843" t="e">
        <f>+O16-#REF!</f>
        <v>#REF!</v>
      </c>
    </row>
    <row r="17" spans="1:16" ht="15" x14ac:dyDescent="0.25">
      <c r="A17" s="845">
        <v>11172</v>
      </c>
      <c r="B17" s="913" t="s">
        <v>885</v>
      </c>
      <c r="C17" s="913" t="s">
        <v>886</v>
      </c>
      <c r="D17" s="842" t="s">
        <v>1495</v>
      </c>
      <c r="E17" s="888">
        <v>8318</v>
      </c>
      <c r="F17" s="441">
        <v>7676.87</v>
      </c>
      <c r="G17" s="505">
        <v>13933</v>
      </c>
      <c r="H17" s="887">
        <v>10971</v>
      </c>
      <c r="I17" s="521">
        <v>10971</v>
      </c>
      <c r="J17" s="587">
        <v>12869</v>
      </c>
      <c r="K17" s="612">
        <v>10000</v>
      </c>
      <c r="L17" s="739">
        <v>11754.69</v>
      </c>
      <c r="M17" s="843">
        <v>0</v>
      </c>
      <c r="O17" s="448" t="e">
        <f>+#REF!</f>
        <v>#REF!</v>
      </c>
      <c r="P17" s="843" t="e">
        <f>+O17-#REF!</f>
        <v>#REF!</v>
      </c>
    </row>
    <row r="18" spans="1:16" ht="15" x14ac:dyDescent="0.25">
      <c r="A18" s="845">
        <v>11171</v>
      </c>
      <c r="B18" s="913" t="s">
        <v>887</v>
      </c>
      <c r="C18" s="913" t="s">
        <v>888</v>
      </c>
      <c r="D18" s="842" t="s">
        <v>106</v>
      </c>
      <c r="E18" s="888">
        <v>0</v>
      </c>
      <c r="F18" s="441"/>
      <c r="G18" s="505">
        <v>161.26</v>
      </c>
      <c r="H18" s="865">
        <v>1533</v>
      </c>
      <c r="I18" s="521">
        <v>160</v>
      </c>
      <c r="J18" s="587">
        <v>0</v>
      </c>
      <c r="K18" s="612">
        <v>0</v>
      </c>
      <c r="L18" s="739">
        <v>0</v>
      </c>
      <c r="M18" s="843">
        <v>0</v>
      </c>
      <c r="O18" s="448" t="e">
        <f>+#REF!</f>
        <v>#REF!</v>
      </c>
      <c r="P18" s="843" t="e">
        <f>+O18-#REF!</f>
        <v>#REF!</v>
      </c>
    </row>
    <row r="19" spans="1:16" ht="15" x14ac:dyDescent="0.25">
      <c r="B19" s="913">
        <v>2500000000</v>
      </c>
      <c r="C19" s="913">
        <v>414.02300000000002</v>
      </c>
      <c r="D19" s="842" t="s">
        <v>1316</v>
      </c>
      <c r="E19" s="888"/>
      <c r="F19" s="441"/>
      <c r="G19" s="505"/>
      <c r="H19" s="865"/>
      <c r="I19" s="521"/>
      <c r="J19" s="587">
        <v>10698</v>
      </c>
      <c r="K19" s="612">
        <v>0</v>
      </c>
      <c r="L19" s="739">
        <v>12395</v>
      </c>
      <c r="O19" s="448"/>
    </row>
    <row r="20" spans="1:16" ht="15" x14ac:dyDescent="0.25">
      <c r="A20" s="845">
        <v>11174</v>
      </c>
      <c r="B20" s="913" t="s">
        <v>895</v>
      </c>
      <c r="C20" s="913" t="s">
        <v>896</v>
      </c>
      <c r="D20" s="842" t="s">
        <v>56</v>
      </c>
      <c r="E20" s="888">
        <v>121715</v>
      </c>
      <c r="F20" s="441">
        <v>119319</v>
      </c>
      <c r="G20" s="505">
        <v>0</v>
      </c>
      <c r="H20" s="887">
        <v>322250</v>
      </c>
      <c r="I20" s="521">
        <v>150000</v>
      </c>
      <c r="J20" s="587">
        <v>213636</v>
      </c>
      <c r="K20" s="612">
        <v>180000</v>
      </c>
      <c r="L20" s="739">
        <v>216429</v>
      </c>
      <c r="M20" s="843">
        <v>0</v>
      </c>
      <c r="O20" s="448" t="e">
        <f>+#REF!</f>
        <v>#REF!</v>
      </c>
      <c r="P20" s="843" t="e">
        <f>+O20-#REF!</f>
        <v>#REF!</v>
      </c>
    </row>
    <row r="21" spans="1:16" ht="15" x14ac:dyDescent="0.25">
      <c r="B21" s="913">
        <v>2500000853</v>
      </c>
      <c r="C21" s="913">
        <v>414.20400000000001</v>
      </c>
      <c r="D21" s="842" t="s">
        <v>1315</v>
      </c>
      <c r="E21" s="888"/>
      <c r="F21" s="441"/>
      <c r="G21" s="505"/>
      <c r="H21" s="887"/>
      <c r="I21" s="521"/>
      <c r="J21" s="587">
        <v>6000</v>
      </c>
      <c r="K21" s="612">
        <v>3000</v>
      </c>
      <c r="L21" s="739">
        <v>2175</v>
      </c>
      <c r="O21" s="448"/>
    </row>
    <row r="22" spans="1:16" ht="15" x14ac:dyDescent="0.25">
      <c r="A22" s="845">
        <v>11167</v>
      </c>
      <c r="B22" s="913" t="s">
        <v>891</v>
      </c>
      <c r="C22" s="913" t="s">
        <v>892</v>
      </c>
      <c r="D22" s="842" t="s">
        <v>66</v>
      </c>
      <c r="E22" s="888">
        <v>19501</v>
      </c>
      <c r="F22" s="441">
        <v>19454.43</v>
      </c>
      <c r="G22" s="505">
        <v>15965</v>
      </c>
      <c r="H22" s="887">
        <v>17058</v>
      </c>
      <c r="I22" s="521">
        <v>15000</v>
      </c>
      <c r="J22" s="587">
        <v>15000</v>
      </c>
      <c r="K22" s="612">
        <v>15000</v>
      </c>
      <c r="L22" s="739">
        <v>10000</v>
      </c>
      <c r="M22" s="843">
        <v>0</v>
      </c>
      <c r="O22" s="448" t="e">
        <f>+#REF!</f>
        <v>#REF!</v>
      </c>
      <c r="P22" s="843" t="e">
        <f>+O22-#REF!</f>
        <v>#REF!</v>
      </c>
    </row>
    <row r="23" spans="1:16" ht="15" x14ac:dyDescent="0.25">
      <c r="A23" s="845">
        <v>11173</v>
      </c>
      <c r="B23" s="913" t="s">
        <v>893</v>
      </c>
      <c r="C23" s="913" t="s">
        <v>894</v>
      </c>
      <c r="D23" s="842" t="s">
        <v>103</v>
      </c>
      <c r="E23" s="888">
        <v>0</v>
      </c>
      <c r="F23" s="441"/>
      <c r="G23" s="505">
        <v>1467</v>
      </c>
      <c r="H23" s="865"/>
      <c r="I23" s="521">
        <v>0</v>
      </c>
      <c r="J23" s="587">
        <v>0</v>
      </c>
      <c r="K23" s="612">
        <v>0</v>
      </c>
      <c r="L23" s="739">
        <v>0</v>
      </c>
      <c r="M23" s="843">
        <v>0</v>
      </c>
      <c r="O23" s="448" t="e">
        <f>+#REF!</f>
        <v>#REF!</v>
      </c>
      <c r="P23" s="843" t="e">
        <f>+O23-#REF!</f>
        <v>#REF!</v>
      </c>
    </row>
    <row r="24" spans="1:16" ht="15" x14ac:dyDescent="0.25">
      <c r="A24" s="845">
        <v>11170</v>
      </c>
      <c r="B24" s="913" t="s">
        <v>876</v>
      </c>
      <c r="C24" s="913" t="s">
        <v>889</v>
      </c>
      <c r="D24" s="842" t="s">
        <v>59</v>
      </c>
      <c r="E24" s="888">
        <v>15000</v>
      </c>
      <c r="F24" s="441">
        <v>0</v>
      </c>
      <c r="G24" s="505">
        <v>0</v>
      </c>
      <c r="H24" s="887">
        <v>0</v>
      </c>
      <c r="I24" s="521">
        <v>0</v>
      </c>
      <c r="J24" s="587">
        <v>0</v>
      </c>
      <c r="K24" s="612">
        <v>0</v>
      </c>
      <c r="L24" s="739">
        <v>0</v>
      </c>
      <c r="M24" s="843">
        <v>0</v>
      </c>
      <c r="O24" s="448">
        <v>4000</v>
      </c>
      <c r="P24" s="843" t="e">
        <f>+O24-#REF!</f>
        <v>#REF!</v>
      </c>
    </row>
    <row r="25" spans="1:16" ht="15" x14ac:dyDescent="0.25">
      <c r="A25" s="845">
        <v>11198</v>
      </c>
      <c r="B25" s="913" t="s">
        <v>876</v>
      </c>
      <c r="C25" s="913" t="s">
        <v>890</v>
      </c>
      <c r="D25" s="842" t="s">
        <v>431</v>
      </c>
      <c r="E25" s="888">
        <v>1880</v>
      </c>
      <c r="F25" s="441">
        <v>1500</v>
      </c>
      <c r="G25" s="505">
        <v>0</v>
      </c>
      <c r="H25" s="887">
        <v>0</v>
      </c>
      <c r="I25" s="521">
        <v>0</v>
      </c>
      <c r="J25" s="587">
        <v>0</v>
      </c>
      <c r="K25" s="612">
        <v>0</v>
      </c>
      <c r="L25" s="739">
        <v>1500</v>
      </c>
      <c r="M25" s="843">
        <v>0</v>
      </c>
      <c r="O25" s="448" t="e">
        <f>+#REF!</f>
        <v>#REF!</v>
      </c>
      <c r="P25" s="843" t="e">
        <f>+O25-#REF!</f>
        <v>#REF!</v>
      </c>
    </row>
    <row r="26" spans="1:16" ht="13.5" thickBot="1" x14ac:dyDescent="0.25">
      <c r="A26" s="845">
        <v>11175</v>
      </c>
      <c r="B26" s="914"/>
      <c r="C26" s="914"/>
      <c r="D26" s="842" t="s">
        <v>678</v>
      </c>
      <c r="E26" s="888"/>
      <c r="F26" s="441">
        <v>131855</v>
      </c>
      <c r="G26" s="505">
        <v>241627</v>
      </c>
      <c r="H26" s="865">
        <v>0</v>
      </c>
      <c r="I26" s="521">
        <v>0</v>
      </c>
      <c r="J26" s="587">
        <v>0</v>
      </c>
      <c r="K26" s="612">
        <v>0</v>
      </c>
      <c r="L26" s="739">
        <v>0</v>
      </c>
      <c r="M26" s="843">
        <v>0</v>
      </c>
      <c r="O26" s="451"/>
      <c r="P26" s="867"/>
    </row>
    <row r="27" spans="1:16" ht="15" x14ac:dyDescent="0.25">
      <c r="B27" s="913">
        <v>2500000000</v>
      </c>
      <c r="C27" s="912">
        <v>312.209</v>
      </c>
      <c r="D27" s="842" t="s">
        <v>1494</v>
      </c>
      <c r="E27" s="888"/>
      <c r="F27" s="441"/>
      <c r="G27" s="505"/>
      <c r="H27" s="865"/>
      <c r="I27" s="521"/>
      <c r="J27" s="587"/>
      <c r="K27" s="612"/>
      <c r="L27" s="739">
        <v>730.13</v>
      </c>
      <c r="O27" s="448"/>
    </row>
    <row r="28" spans="1:16" ht="15" x14ac:dyDescent="0.25">
      <c r="B28" s="913">
        <v>2500000000</v>
      </c>
      <c r="C28" s="912">
        <v>312.20800000000003</v>
      </c>
      <c r="D28" s="842" t="s">
        <v>1493</v>
      </c>
      <c r="E28" s="888"/>
      <c r="F28" s="441"/>
      <c r="G28" s="505"/>
      <c r="H28" s="865"/>
      <c r="I28" s="521"/>
      <c r="J28" s="587"/>
      <c r="K28" s="612"/>
      <c r="L28" s="739">
        <v>8853.9</v>
      </c>
      <c r="O28" s="448"/>
    </row>
    <row r="29" spans="1:16" ht="15" x14ac:dyDescent="0.25">
      <c r="B29" s="913">
        <v>2500000000</v>
      </c>
      <c r="C29" s="912">
        <v>312.20699999999999</v>
      </c>
      <c r="D29" s="842" t="s">
        <v>1492</v>
      </c>
      <c r="E29" s="888"/>
      <c r="F29" s="441"/>
      <c r="G29" s="505"/>
      <c r="H29" s="865"/>
      <c r="I29" s="521"/>
      <c r="J29" s="587"/>
      <c r="K29" s="612"/>
      <c r="L29" s="739">
        <v>16256.08</v>
      </c>
      <c r="O29" s="448"/>
    </row>
    <row r="30" spans="1:16" s="847" customFormat="1" ht="13.5" thickBot="1" x14ac:dyDescent="0.25">
      <c r="A30" s="911" t="s">
        <v>57</v>
      </c>
      <c r="B30" s="911"/>
      <c r="C30" s="911"/>
      <c r="D30" s="911"/>
      <c r="E30" s="871">
        <f t="shared" ref="E30:M30" si="0">SUM(E9:E29)</f>
        <v>227292</v>
      </c>
      <c r="F30" s="444">
        <f t="shared" si="0"/>
        <v>320505.57</v>
      </c>
      <c r="G30" s="504">
        <f t="shared" si="0"/>
        <v>280041.25</v>
      </c>
      <c r="H30" s="910">
        <f t="shared" si="0"/>
        <v>353741</v>
      </c>
      <c r="I30" s="527">
        <f t="shared" si="0"/>
        <v>202211</v>
      </c>
      <c r="J30" s="633">
        <f t="shared" si="0"/>
        <v>277436</v>
      </c>
      <c r="K30" s="642">
        <f t="shared" si="0"/>
        <v>223100</v>
      </c>
      <c r="L30" s="869">
        <f t="shared" si="0"/>
        <v>280500.80000000005</v>
      </c>
      <c r="M30" s="867">
        <f t="shared" si="0"/>
        <v>0</v>
      </c>
      <c r="N30" s="868"/>
      <c r="O30" s="451" t="e">
        <f>SUM(O9:O29)</f>
        <v>#REF!</v>
      </c>
      <c r="P30" s="867" t="e">
        <f>SUM(P9:P29)</f>
        <v>#REF!</v>
      </c>
    </row>
    <row r="31" spans="1:16" x14ac:dyDescent="0.2">
      <c r="E31" s="888">
        <f>+E30-237380.91</f>
        <v>-10088.910000000003</v>
      </c>
      <c r="F31" s="6"/>
      <c r="G31" s="6"/>
      <c r="H31" s="905"/>
      <c r="O31" s="6"/>
    </row>
    <row r="32" spans="1:16" x14ac:dyDescent="0.2">
      <c r="E32" s="888"/>
      <c r="F32" s="6"/>
      <c r="G32" s="6"/>
      <c r="H32" s="905"/>
      <c r="O32" s="6"/>
    </row>
    <row r="33" spans="1:20" s="896" customFormat="1" ht="23.25" x14ac:dyDescent="0.35">
      <c r="A33" s="909" t="s">
        <v>51</v>
      </c>
      <c r="B33" s="909"/>
      <c r="C33" s="909"/>
      <c r="D33" s="909"/>
      <c r="E33" s="908"/>
      <c r="H33" s="905"/>
      <c r="I33" s="842"/>
      <c r="J33" s="842"/>
      <c r="K33" s="842"/>
      <c r="L33" s="842"/>
      <c r="M33" s="907"/>
      <c r="P33" s="907"/>
    </row>
    <row r="34" spans="1:20" s="896" customFormat="1" ht="20.25" x14ac:dyDescent="0.3">
      <c r="A34" s="896" t="s">
        <v>55</v>
      </c>
      <c r="E34" s="907"/>
      <c r="H34" s="905"/>
      <c r="I34" s="842"/>
      <c r="J34" s="842"/>
      <c r="K34" s="842"/>
      <c r="L34" s="842"/>
      <c r="M34" s="907"/>
      <c r="P34" s="907"/>
    </row>
    <row r="35" spans="1:20" s="896" customFormat="1" ht="30.75" customHeight="1" x14ac:dyDescent="0.3">
      <c r="A35" s="906"/>
      <c r="B35" s="906"/>
      <c r="C35" s="906"/>
      <c r="D35" s="901"/>
      <c r="E35" s="900"/>
      <c r="F35" s="901"/>
      <c r="G35" s="901"/>
      <c r="H35" s="905"/>
      <c r="I35" s="842"/>
      <c r="J35" s="842"/>
      <c r="K35" s="842"/>
      <c r="L35" s="842"/>
      <c r="M35" s="900"/>
      <c r="N35" s="254"/>
      <c r="O35" s="901"/>
      <c r="P35" s="900"/>
      <c r="R35" s="899"/>
      <c r="S35" s="898"/>
      <c r="T35" s="897"/>
    </row>
    <row r="36" spans="1:20" s="896" customFormat="1" ht="13.5" hidden="1" customHeight="1" x14ac:dyDescent="0.3">
      <c r="A36" s="845">
        <v>11233</v>
      </c>
      <c r="B36" s="844"/>
      <c r="C36" s="844"/>
      <c r="D36" s="845" t="s">
        <v>679</v>
      </c>
      <c r="E36" s="900"/>
      <c r="F36" s="890">
        <v>9413.5400000000009</v>
      </c>
      <c r="G36" s="904"/>
      <c r="H36" s="903"/>
      <c r="I36" s="528"/>
      <c r="J36" s="634"/>
      <c r="K36" s="643"/>
      <c r="L36" s="902"/>
      <c r="M36" s="900"/>
      <c r="N36" s="254"/>
      <c r="O36" s="901"/>
      <c r="P36" s="900"/>
      <c r="R36" s="899"/>
      <c r="S36" s="898"/>
      <c r="T36" s="897"/>
    </row>
    <row r="37" spans="1:20" s="896" customFormat="1" ht="13.5" hidden="1" customHeight="1" x14ac:dyDescent="0.3">
      <c r="A37" s="845">
        <v>11219</v>
      </c>
      <c r="B37" s="844"/>
      <c r="C37" s="844"/>
      <c r="D37" s="845" t="s">
        <v>680</v>
      </c>
      <c r="E37" s="900"/>
      <c r="F37" s="890">
        <v>25469.67</v>
      </c>
      <c r="G37" s="904"/>
      <c r="H37" s="903"/>
      <c r="I37" s="528"/>
      <c r="J37" s="634"/>
      <c r="K37" s="643"/>
      <c r="L37" s="902"/>
      <c r="M37" s="900"/>
      <c r="N37" s="254"/>
      <c r="O37" s="901"/>
      <c r="P37" s="900"/>
      <c r="R37" s="899"/>
      <c r="S37" s="898"/>
      <c r="T37" s="897"/>
    </row>
    <row r="38" spans="1:20" s="896" customFormat="1" ht="13.5" hidden="1" customHeight="1" x14ac:dyDescent="0.3">
      <c r="A38" s="845">
        <v>11220</v>
      </c>
      <c r="B38" s="844"/>
      <c r="C38" s="844"/>
      <c r="D38" s="845" t="s">
        <v>681</v>
      </c>
      <c r="E38" s="900"/>
      <c r="F38" s="890">
        <v>5731.45</v>
      </c>
      <c r="G38" s="904"/>
      <c r="H38" s="903"/>
      <c r="I38" s="528"/>
      <c r="J38" s="634"/>
      <c r="K38" s="643"/>
      <c r="L38" s="902"/>
      <c r="M38" s="900"/>
      <c r="N38" s="254"/>
      <c r="O38" s="901"/>
      <c r="P38" s="900"/>
      <c r="R38" s="899"/>
      <c r="S38" s="898"/>
      <c r="T38" s="897"/>
    </row>
    <row r="39" spans="1:20" s="896" customFormat="1" ht="13.5" hidden="1" customHeight="1" x14ac:dyDescent="0.3">
      <c r="A39" s="845">
        <v>11221</v>
      </c>
      <c r="B39" s="844"/>
      <c r="C39" s="844"/>
      <c r="D39" s="845" t="s">
        <v>682</v>
      </c>
      <c r="E39" s="900"/>
      <c r="F39" s="890">
        <v>8497.59</v>
      </c>
      <c r="G39" s="904"/>
      <c r="H39" s="903"/>
      <c r="I39" s="528"/>
      <c r="J39" s="634"/>
      <c r="K39" s="643"/>
      <c r="L39" s="902"/>
      <c r="M39" s="900"/>
      <c r="N39" s="254"/>
      <c r="O39" s="901"/>
      <c r="P39" s="900"/>
      <c r="R39" s="899"/>
      <c r="S39" s="898"/>
      <c r="T39" s="897"/>
    </row>
    <row r="40" spans="1:20" s="896" customFormat="1" ht="13.5" hidden="1" customHeight="1" x14ac:dyDescent="0.3">
      <c r="A40" s="845">
        <v>11222</v>
      </c>
      <c r="B40" s="844"/>
      <c r="C40" s="844"/>
      <c r="D40" s="845" t="s">
        <v>683</v>
      </c>
      <c r="E40" s="900"/>
      <c r="F40" s="890">
        <v>1965.42</v>
      </c>
      <c r="G40" s="904"/>
      <c r="H40" s="903"/>
      <c r="I40" s="528"/>
      <c r="J40" s="634"/>
      <c r="K40" s="643"/>
      <c r="L40" s="902"/>
      <c r="M40" s="900"/>
      <c r="N40" s="254"/>
      <c r="O40" s="901"/>
      <c r="P40" s="900"/>
      <c r="R40" s="899"/>
      <c r="S40" s="898"/>
      <c r="T40" s="897"/>
    </row>
    <row r="41" spans="1:20" x14ac:dyDescent="0.2">
      <c r="A41" s="845">
        <v>11177</v>
      </c>
      <c r="B41" s="889" t="s">
        <v>910</v>
      </c>
      <c r="C41" s="889" t="s">
        <v>911</v>
      </c>
      <c r="D41" s="842" t="s">
        <v>67</v>
      </c>
      <c r="E41" s="888">
        <v>4611.6000000000004</v>
      </c>
      <c r="F41" s="890">
        <v>4194.3999999999996</v>
      </c>
      <c r="G41" s="505">
        <v>0</v>
      </c>
      <c r="H41" s="865">
        <v>0</v>
      </c>
      <c r="I41" s="521">
        <v>0</v>
      </c>
      <c r="J41" s="587">
        <v>0</v>
      </c>
      <c r="K41" s="612">
        <v>0</v>
      </c>
      <c r="L41" s="739">
        <v>0</v>
      </c>
      <c r="M41" s="843">
        <v>0</v>
      </c>
      <c r="O41" s="448">
        <f>+'[1]SUPPORT Sal Bkdwn 2022-23'!O36+100</f>
        <v>100</v>
      </c>
      <c r="P41" s="843" t="e">
        <f>+O41-#REF!</f>
        <v>#REF!</v>
      </c>
    </row>
    <row r="42" spans="1:20" x14ac:dyDescent="0.2">
      <c r="A42" s="845">
        <v>11180</v>
      </c>
      <c r="B42" s="889" t="s">
        <v>910</v>
      </c>
      <c r="C42" s="889" t="s">
        <v>912</v>
      </c>
      <c r="D42" s="842" t="s">
        <v>68</v>
      </c>
      <c r="E42" s="888">
        <v>25651.040000000001</v>
      </c>
      <c r="F42" s="890">
        <v>20707.68</v>
      </c>
      <c r="G42" s="505">
        <v>25953</v>
      </c>
      <c r="H42" s="887">
        <v>27000</v>
      </c>
      <c r="I42" s="521">
        <v>37656</v>
      </c>
      <c r="J42" s="587">
        <v>29000</v>
      </c>
      <c r="K42" s="612">
        <v>35520</v>
      </c>
      <c r="L42" s="739">
        <v>35563</v>
      </c>
      <c r="M42" s="843">
        <v>0</v>
      </c>
      <c r="O42" s="448">
        <f>+'[1]SUPPORT Sal Bkdwn 2022-23'!N36+600</f>
        <v>38116.96428571429</v>
      </c>
      <c r="P42" s="843" t="e">
        <f>+O42-#REF!</f>
        <v>#REF!</v>
      </c>
    </row>
    <row r="43" spans="1:20" x14ac:dyDescent="0.2">
      <c r="A43" s="845">
        <v>11184</v>
      </c>
      <c r="B43" s="889" t="s">
        <v>910</v>
      </c>
      <c r="C43" s="889" t="s">
        <v>913</v>
      </c>
      <c r="D43" s="842" t="s">
        <v>69</v>
      </c>
      <c r="E43" s="888">
        <v>1091.69</v>
      </c>
      <c r="F43" s="890">
        <v>1381</v>
      </c>
      <c r="G43" s="505">
        <v>3723.61</v>
      </c>
      <c r="H43" s="887">
        <v>3586</v>
      </c>
      <c r="I43" s="521">
        <v>3500</v>
      </c>
      <c r="J43" s="587">
        <v>7102</v>
      </c>
      <c r="K43" s="612">
        <v>2800</v>
      </c>
      <c r="L43" s="739">
        <v>2000</v>
      </c>
      <c r="M43" s="843">
        <v>0</v>
      </c>
      <c r="O43" s="448">
        <v>1500</v>
      </c>
      <c r="P43" s="843" t="e">
        <f>+O43-#REF!</f>
        <v>#REF!</v>
      </c>
    </row>
    <row r="44" spans="1:20" x14ac:dyDescent="0.2">
      <c r="A44" s="845">
        <v>11189</v>
      </c>
      <c r="B44" s="889" t="s">
        <v>910</v>
      </c>
      <c r="C44" s="889" t="s">
        <v>914</v>
      </c>
      <c r="D44" s="842" t="s">
        <v>70</v>
      </c>
      <c r="E44" s="888">
        <v>112.6</v>
      </c>
      <c r="F44" s="890">
        <v>297</v>
      </c>
      <c r="G44" s="505">
        <v>0</v>
      </c>
      <c r="H44" s="865">
        <v>0</v>
      </c>
      <c r="I44" s="521">
        <v>0</v>
      </c>
      <c r="J44" s="587">
        <v>0</v>
      </c>
      <c r="K44" s="612">
        <v>0</v>
      </c>
      <c r="L44" s="739">
        <v>0</v>
      </c>
      <c r="M44" s="843">
        <v>0</v>
      </c>
      <c r="O44" s="448">
        <v>70</v>
      </c>
      <c r="P44" s="843" t="e">
        <f>+O44-#REF!</f>
        <v>#REF!</v>
      </c>
    </row>
    <row r="45" spans="1:20" x14ac:dyDescent="0.2">
      <c r="A45" s="845">
        <v>11186</v>
      </c>
      <c r="B45" s="889" t="s">
        <v>910</v>
      </c>
      <c r="C45" s="889" t="s">
        <v>915</v>
      </c>
      <c r="D45" s="842" t="s">
        <v>71</v>
      </c>
      <c r="E45" s="888">
        <v>1830.87</v>
      </c>
      <c r="F45" s="890">
        <v>4173.8900000000003</v>
      </c>
      <c r="G45" s="505">
        <v>13040.91</v>
      </c>
      <c r="H45" s="887">
        <v>17000</v>
      </c>
      <c r="I45" s="521">
        <v>16282</v>
      </c>
      <c r="J45" s="587">
        <v>16300</v>
      </c>
      <c r="K45" s="612">
        <v>25514</v>
      </c>
      <c r="L45" s="739">
        <v>16802</v>
      </c>
      <c r="M45" s="843">
        <v>0</v>
      </c>
      <c r="O45" s="448">
        <f>+'[1]Support MESSA 18-19 CAP'!S34</f>
        <v>4910.5192499999994</v>
      </c>
      <c r="P45" s="843" t="e">
        <f>+O45-#REF!</f>
        <v>#REF!</v>
      </c>
    </row>
    <row r="46" spans="1:20" x14ac:dyDescent="0.2">
      <c r="A46" s="845">
        <v>11190</v>
      </c>
      <c r="B46" s="889" t="s">
        <v>910</v>
      </c>
      <c r="C46" s="889" t="s">
        <v>903</v>
      </c>
      <c r="D46" s="842" t="s">
        <v>72</v>
      </c>
      <c r="E46" s="888">
        <v>8220.16</v>
      </c>
      <c r="F46" s="890">
        <v>7143.57</v>
      </c>
      <c r="G46" s="505">
        <v>8410</v>
      </c>
      <c r="H46" s="887">
        <v>8564</v>
      </c>
      <c r="I46" s="521">
        <v>11936</v>
      </c>
      <c r="J46" s="587">
        <v>11200</v>
      </c>
      <c r="K46" s="612">
        <v>12263</v>
      </c>
      <c r="L46" s="739">
        <v>11269</v>
      </c>
      <c r="M46" s="843">
        <v>0</v>
      </c>
      <c r="O46" s="448">
        <f>SUM(O41:O44)*R1</f>
        <v>11140.350000000002</v>
      </c>
      <c r="P46" s="843" t="e">
        <f>+O46-#REF!</f>
        <v>#REF!</v>
      </c>
    </row>
    <row r="47" spans="1:20" x14ac:dyDescent="0.2">
      <c r="A47" s="845">
        <v>11194</v>
      </c>
      <c r="B47" s="889" t="s">
        <v>910</v>
      </c>
      <c r="C47" s="889" t="s">
        <v>904</v>
      </c>
      <c r="D47" s="842" t="s">
        <v>73</v>
      </c>
      <c r="E47" s="888">
        <v>2267.8200000000002</v>
      </c>
      <c r="F47" s="890">
        <v>1922.23</v>
      </c>
      <c r="G47" s="505">
        <v>2015</v>
      </c>
      <c r="H47" s="887">
        <v>2340</v>
      </c>
      <c r="I47" s="521">
        <v>3149</v>
      </c>
      <c r="J47" s="587">
        <v>2762</v>
      </c>
      <c r="K47" s="612">
        <v>2932</v>
      </c>
      <c r="L47" s="739">
        <v>2874</v>
      </c>
      <c r="M47" s="843">
        <v>0</v>
      </c>
      <c r="O47" s="448">
        <f>SUM(O41:O44)*7.65%</f>
        <v>3043.702767857143</v>
      </c>
      <c r="P47" s="843" t="e">
        <f>+O47-#REF!</f>
        <v>#REF!</v>
      </c>
    </row>
    <row r="48" spans="1:20" hidden="1" x14ac:dyDescent="0.2">
      <c r="A48" s="845">
        <v>11192</v>
      </c>
      <c r="B48" s="895"/>
      <c r="C48" s="895"/>
      <c r="D48" s="842" t="s">
        <v>755</v>
      </c>
      <c r="E48" s="888"/>
      <c r="F48" s="890"/>
      <c r="G48" s="505"/>
      <c r="H48" s="887">
        <v>10672</v>
      </c>
      <c r="I48" s="521">
        <v>0</v>
      </c>
      <c r="J48" s="587">
        <v>0</v>
      </c>
      <c r="K48" s="612">
        <v>0</v>
      </c>
      <c r="L48" s="739">
        <v>0</v>
      </c>
      <c r="M48" s="843">
        <v>0</v>
      </c>
      <c r="O48" s="448"/>
    </row>
    <row r="49" spans="1:16" x14ac:dyDescent="0.2">
      <c r="A49" s="845">
        <v>11200</v>
      </c>
      <c r="B49" s="889" t="s">
        <v>910</v>
      </c>
      <c r="C49" s="889" t="s">
        <v>920</v>
      </c>
      <c r="D49" s="842" t="s">
        <v>74</v>
      </c>
      <c r="E49" s="888">
        <v>762.59</v>
      </c>
      <c r="F49" s="890">
        <v>515.24</v>
      </c>
      <c r="G49" s="505">
        <v>574.63</v>
      </c>
      <c r="H49" s="887">
        <v>1000</v>
      </c>
      <c r="I49" s="521">
        <v>1000</v>
      </c>
      <c r="J49" s="587">
        <v>1000</v>
      </c>
      <c r="K49" s="612">
        <v>1200</v>
      </c>
      <c r="L49" s="739">
        <v>1200</v>
      </c>
      <c r="M49" s="843">
        <v>0</v>
      </c>
      <c r="O49" s="448">
        <v>800</v>
      </c>
      <c r="P49" s="843" t="e">
        <f>+O49-#REF!</f>
        <v>#REF!</v>
      </c>
    </row>
    <row r="50" spans="1:16" x14ac:dyDescent="0.2">
      <c r="A50" s="845">
        <v>11204</v>
      </c>
      <c r="B50" s="889" t="s">
        <v>910</v>
      </c>
      <c r="C50" s="889" t="s">
        <v>921</v>
      </c>
      <c r="D50" s="842" t="s">
        <v>673</v>
      </c>
      <c r="E50" s="888">
        <v>0</v>
      </c>
      <c r="F50" s="890">
        <v>323.56</v>
      </c>
      <c r="G50" s="505">
        <v>0</v>
      </c>
      <c r="H50" s="887">
        <v>500</v>
      </c>
      <c r="I50" s="521">
        <v>5000</v>
      </c>
      <c r="J50" s="587">
        <v>700</v>
      </c>
      <c r="K50" s="612">
        <v>1000</v>
      </c>
      <c r="L50" s="739">
        <v>1000</v>
      </c>
      <c r="M50" s="843">
        <v>0</v>
      </c>
      <c r="O50" s="448"/>
    </row>
    <row r="51" spans="1:16" x14ac:dyDescent="0.2">
      <c r="A51" s="845">
        <v>11206</v>
      </c>
      <c r="B51" s="889" t="s">
        <v>910</v>
      </c>
      <c r="C51" s="889" t="s">
        <v>922</v>
      </c>
      <c r="D51" s="842" t="s">
        <v>75</v>
      </c>
      <c r="E51" s="888">
        <v>39479.660000000003</v>
      </c>
      <c r="F51" s="890">
        <v>31943.27</v>
      </c>
      <c r="G51" s="505">
        <v>34105.67</v>
      </c>
      <c r="H51" s="887">
        <v>55000</v>
      </c>
      <c r="I51" s="521">
        <v>35000</v>
      </c>
      <c r="J51" s="587">
        <v>50000</v>
      </c>
      <c r="K51" s="612">
        <v>35000</v>
      </c>
      <c r="L51" s="739">
        <v>50000</v>
      </c>
      <c r="M51" s="843">
        <v>0</v>
      </c>
      <c r="O51" s="448">
        <v>42000</v>
      </c>
      <c r="P51" s="843" t="e">
        <f>+O51-#REF!</f>
        <v>#REF!</v>
      </c>
    </row>
    <row r="52" spans="1:16" x14ac:dyDescent="0.2">
      <c r="A52" s="845">
        <v>11208</v>
      </c>
      <c r="B52" s="889" t="s">
        <v>910</v>
      </c>
      <c r="C52" s="889" t="s">
        <v>923</v>
      </c>
      <c r="D52" s="842" t="s">
        <v>76</v>
      </c>
      <c r="E52" s="888">
        <v>7523.4</v>
      </c>
      <c r="F52" s="890">
        <v>4993.01</v>
      </c>
      <c r="G52" s="505">
        <v>5370</v>
      </c>
      <c r="H52" s="887">
        <v>7500</v>
      </c>
      <c r="I52" s="521">
        <v>7000</v>
      </c>
      <c r="J52" s="587">
        <v>7500</v>
      </c>
      <c r="K52" s="612">
        <v>7000</v>
      </c>
      <c r="L52" s="739">
        <v>6000</v>
      </c>
      <c r="M52" s="843">
        <v>0</v>
      </c>
      <c r="O52" s="448">
        <v>8000</v>
      </c>
      <c r="P52" s="843" t="e">
        <f>+O52-#REF!</f>
        <v>#REF!</v>
      </c>
    </row>
    <row r="53" spans="1:16" x14ac:dyDescent="0.2">
      <c r="A53" s="845">
        <v>11210</v>
      </c>
      <c r="B53" s="889" t="s">
        <v>924</v>
      </c>
      <c r="C53" s="889" t="s">
        <v>925</v>
      </c>
      <c r="D53" s="842" t="s">
        <v>104</v>
      </c>
      <c r="E53" s="888">
        <v>9750.4</v>
      </c>
      <c r="F53" s="890">
        <v>9727.2099999999991</v>
      </c>
      <c r="G53" s="505">
        <v>8717</v>
      </c>
      <c r="H53" s="887">
        <v>8529</v>
      </c>
      <c r="I53" s="521">
        <v>8500</v>
      </c>
      <c r="J53" s="587">
        <v>7500</v>
      </c>
      <c r="K53" s="612">
        <v>7500</v>
      </c>
      <c r="L53" s="739">
        <v>5000</v>
      </c>
      <c r="M53" s="843">
        <v>0</v>
      </c>
      <c r="O53" s="448" t="e">
        <f>+(O22+O23)/2</f>
        <v>#REF!</v>
      </c>
      <c r="P53" s="843" t="e">
        <f>+O53-#REF!</f>
        <v>#REF!</v>
      </c>
    </row>
    <row r="54" spans="1:16" x14ac:dyDescent="0.2">
      <c r="A54" s="845">
        <v>11212</v>
      </c>
      <c r="B54" s="889" t="s">
        <v>910</v>
      </c>
      <c r="C54" s="889" t="s">
        <v>926</v>
      </c>
      <c r="D54" s="842" t="s">
        <v>91</v>
      </c>
      <c r="E54" s="888">
        <v>35.299999999999997</v>
      </c>
      <c r="F54" s="890">
        <v>1779.7</v>
      </c>
      <c r="G54" s="505">
        <v>598.01</v>
      </c>
      <c r="H54" s="887">
        <v>1000</v>
      </c>
      <c r="I54" s="521">
        <v>1000</v>
      </c>
      <c r="J54" s="587">
        <v>400</v>
      </c>
      <c r="K54" s="612">
        <v>500</v>
      </c>
      <c r="L54" s="739">
        <v>500</v>
      </c>
      <c r="M54" s="843">
        <v>0</v>
      </c>
      <c r="O54" s="448">
        <v>105</v>
      </c>
      <c r="P54" s="843" t="e">
        <f>+O54-#REF!</f>
        <v>#REF!</v>
      </c>
    </row>
    <row r="55" spans="1:16" x14ac:dyDescent="0.2">
      <c r="A55" s="845">
        <v>11214</v>
      </c>
      <c r="B55" s="889" t="s">
        <v>910</v>
      </c>
      <c r="C55" s="889" t="s">
        <v>927</v>
      </c>
      <c r="D55" s="842" t="s">
        <v>92</v>
      </c>
      <c r="E55" s="888">
        <v>1260.3900000000001</v>
      </c>
      <c r="F55" s="890">
        <v>951.11</v>
      </c>
      <c r="G55" s="505">
        <v>2310.9299999999998</v>
      </c>
      <c r="H55" s="887">
        <v>2500</v>
      </c>
      <c r="I55" s="521">
        <v>2300</v>
      </c>
      <c r="J55" s="587">
        <v>2300</v>
      </c>
      <c r="K55" s="612">
        <v>2300</v>
      </c>
      <c r="L55" s="739">
        <v>2500</v>
      </c>
      <c r="M55" s="843">
        <v>0</v>
      </c>
      <c r="O55" s="448">
        <v>1400</v>
      </c>
      <c r="P55" s="843" t="e">
        <f>+O55-#REF!</f>
        <v>#REF!</v>
      </c>
    </row>
    <row r="56" spans="1:16" x14ac:dyDescent="0.2">
      <c r="A56" s="845">
        <v>11218</v>
      </c>
      <c r="B56" s="889" t="s">
        <v>910</v>
      </c>
      <c r="C56" s="889" t="s">
        <v>929</v>
      </c>
      <c r="D56" s="842" t="s">
        <v>672</v>
      </c>
      <c r="E56" s="888">
        <v>39.96</v>
      </c>
      <c r="F56" s="890">
        <v>0</v>
      </c>
      <c r="G56" s="505"/>
      <c r="H56" s="887">
        <v>106</v>
      </c>
      <c r="I56" s="521">
        <v>100</v>
      </c>
      <c r="J56" s="587">
        <v>53663</v>
      </c>
      <c r="K56" s="612">
        <v>100</v>
      </c>
      <c r="L56" s="739">
        <v>35893</v>
      </c>
      <c r="M56" s="843">
        <v>0</v>
      </c>
      <c r="O56" s="448"/>
    </row>
    <row r="57" spans="1:16" x14ac:dyDescent="0.2">
      <c r="A57" s="845">
        <v>11216</v>
      </c>
      <c r="B57" s="889" t="s">
        <v>910</v>
      </c>
      <c r="C57" s="889" t="s">
        <v>928</v>
      </c>
      <c r="D57" s="842" t="s">
        <v>77</v>
      </c>
      <c r="E57" s="888">
        <v>7.1</v>
      </c>
      <c r="F57" s="890">
        <v>0</v>
      </c>
      <c r="G57" s="505">
        <v>339</v>
      </c>
      <c r="H57" s="887">
        <v>475</v>
      </c>
      <c r="I57" s="521">
        <v>50</v>
      </c>
      <c r="J57" s="587">
        <v>588</v>
      </c>
      <c r="K57" s="612">
        <v>50</v>
      </c>
      <c r="L57" s="739">
        <v>50</v>
      </c>
      <c r="M57" s="843">
        <v>0</v>
      </c>
      <c r="O57" s="448">
        <v>75</v>
      </c>
      <c r="P57" s="843" t="e">
        <f>+O57-#REF!</f>
        <v>#REF!</v>
      </c>
    </row>
    <row r="58" spans="1:16" hidden="1" x14ac:dyDescent="0.2">
      <c r="A58" s="845">
        <v>11228</v>
      </c>
      <c r="B58" s="895"/>
      <c r="C58" s="895"/>
      <c r="D58" s="842" t="s">
        <v>684</v>
      </c>
      <c r="E58" s="888"/>
      <c r="F58" s="890">
        <v>40376.76</v>
      </c>
      <c r="G58" s="505">
        <v>0</v>
      </c>
      <c r="H58" s="887">
        <v>0</v>
      </c>
      <c r="I58" s="521">
        <v>0</v>
      </c>
      <c r="J58" s="587">
        <v>0</v>
      </c>
      <c r="K58" s="612">
        <v>0</v>
      </c>
      <c r="L58" s="739">
        <v>0</v>
      </c>
      <c r="M58" s="843">
        <v>0</v>
      </c>
      <c r="O58" s="448"/>
    </row>
    <row r="59" spans="1:16" hidden="1" x14ac:dyDescent="0.2">
      <c r="A59" s="845">
        <v>11231</v>
      </c>
      <c r="B59" s="895"/>
      <c r="C59" s="895"/>
      <c r="D59" s="842" t="s">
        <v>685</v>
      </c>
      <c r="E59" s="888"/>
      <c r="F59" s="890">
        <v>3395.58</v>
      </c>
      <c r="G59" s="505"/>
      <c r="H59" s="887">
        <v>0</v>
      </c>
      <c r="I59" s="521">
        <v>0</v>
      </c>
      <c r="J59" s="587">
        <v>0</v>
      </c>
      <c r="K59" s="612">
        <v>0</v>
      </c>
      <c r="L59" s="739">
        <v>0</v>
      </c>
      <c r="M59" s="843">
        <v>0</v>
      </c>
      <c r="O59" s="448"/>
    </row>
    <row r="60" spans="1:16" s="847" customFormat="1" x14ac:dyDescent="0.2">
      <c r="A60" s="894" t="s">
        <v>95</v>
      </c>
      <c r="B60" s="894"/>
      <c r="C60" s="894"/>
      <c r="D60" s="893"/>
      <c r="E60" s="886">
        <f>SUM(E41:E57)</f>
        <v>102644.58</v>
      </c>
      <c r="F60" s="442">
        <f>SUM(F36:F59)</f>
        <v>184902.87999999998</v>
      </c>
      <c r="G60" s="503">
        <f>SUM(G36:G58)</f>
        <v>105157.75999999999</v>
      </c>
      <c r="H60" s="892">
        <f>SUM(H35:H59)</f>
        <v>145772</v>
      </c>
      <c r="I60" s="522">
        <f>SUM(I35:I59)</f>
        <v>132473</v>
      </c>
      <c r="J60" s="596">
        <f>SUM(J35:J59)</f>
        <v>190015</v>
      </c>
      <c r="K60" s="619">
        <f>SUM(K35:K59)</f>
        <v>133679</v>
      </c>
      <c r="L60" s="884">
        <f>SUM(L35:L59)</f>
        <v>170651</v>
      </c>
      <c r="M60" s="882">
        <f>SUM(M41:M59)</f>
        <v>0</v>
      </c>
      <c r="N60" s="883"/>
      <c r="O60" s="449" t="e">
        <f>SUM(O41:O57)</f>
        <v>#REF!</v>
      </c>
      <c r="P60" s="882" t="e">
        <f>SUM(P41:P57)</f>
        <v>#REF!</v>
      </c>
    </row>
    <row r="61" spans="1:16" s="847" customFormat="1" x14ac:dyDescent="0.2">
      <c r="A61" s="866"/>
      <c r="B61" s="866"/>
      <c r="C61" s="866"/>
      <c r="D61" s="866"/>
      <c r="E61" s="888"/>
      <c r="F61" s="890"/>
      <c r="G61" s="505"/>
      <c r="H61" s="865"/>
      <c r="I61" s="864"/>
      <c r="J61" s="863"/>
      <c r="K61" s="862"/>
      <c r="L61" s="861"/>
      <c r="M61" s="843"/>
      <c r="O61" s="448"/>
      <c r="P61" s="843"/>
    </row>
    <row r="62" spans="1:16" s="847" customFormat="1" x14ac:dyDescent="0.2">
      <c r="A62" s="866"/>
      <c r="B62" s="866"/>
      <c r="C62" s="866"/>
      <c r="D62" s="866"/>
      <c r="E62" s="891"/>
      <c r="F62" s="890"/>
      <c r="G62" s="505"/>
      <c r="H62" s="865"/>
      <c r="I62" s="864"/>
      <c r="J62" s="863"/>
      <c r="K62" s="862"/>
      <c r="L62" s="861"/>
      <c r="M62" s="843"/>
      <c r="O62" s="448"/>
      <c r="P62" s="843"/>
    </row>
    <row r="63" spans="1:16" s="847" customFormat="1" x14ac:dyDescent="0.2">
      <c r="A63" s="866"/>
      <c r="B63" s="866"/>
      <c r="C63" s="866"/>
      <c r="D63" s="866"/>
      <c r="E63" s="888"/>
      <c r="F63" s="890"/>
      <c r="G63" s="505"/>
      <c r="H63" s="865"/>
      <c r="I63" s="864"/>
      <c r="J63" s="863"/>
      <c r="K63" s="862"/>
      <c r="L63" s="861"/>
      <c r="M63" s="843"/>
      <c r="O63" s="448"/>
      <c r="P63" s="843"/>
    </row>
    <row r="64" spans="1:16" x14ac:dyDescent="0.2">
      <c r="A64" s="845">
        <v>11179</v>
      </c>
      <c r="B64" s="889" t="s">
        <v>897</v>
      </c>
      <c r="C64" s="889" t="s">
        <v>898</v>
      </c>
      <c r="D64" s="842" t="s">
        <v>78</v>
      </c>
      <c r="E64" s="888">
        <v>5607</v>
      </c>
      <c r="F64" s="441">
        <v>4401.2700000000004</v>
      </c>
      <c r="G64" s="505">
        <v>3368.54</v>
      </c>
      <c r="H64" s="887">
        <v>4400</v>
      </c>
      <c r="I64" s="521">
        <v>4579</v>
      </c>
      <c r="J64" s="587">
        <v>2450</v>
      </c>
      <c r="K64" s="612">
        <v>5920</v>
      </c>
      <c r="L64" s="739">
        <v>7525</v>
      </c>
      <c r="M64" s="843">
        <v>0</v>
      </c>
      <c r="O64" s="448">
        <f>+'[1]SUPPORT Sal Bkdwn 2022-23'!M36</f>
        <v>14005.9375</v>
      </c>
      <c r="P64" s="843" t="e">
        <f>+O64-#REF!</f>
        <v>#REF!</v>
      </c>
    </row>
    <row r="65" spans="1:16" x14ac:dyDescent="0.2">
      <c r="A65" s="845">
        <v>11178</v>
      </c>
      <c r="B65" s="889" t="s">
        <v>897</v>
      </c>
      <c r="C65" s="889" t="s">
        <v>899</v>
      </c>
      <c r="D65" s="842" t="s">
        <v>79</v>
      </c>
      <c r="E65" s="888">
        <v>29341.64</v>
      </c>
      <c r="F65" s="441">
        <v>24680.27</v>
      </c>
      <c r="G65" s="505">
        <v>31431.97</v>
      </c>
      <c r="H65" s="887">
        <v>27000</v>
      </c>
      <c r="I65" s="521">
        <v>36008</v>
      </c>
      <c r="J65" s="587">
        <v>39300</v>
      </c>
      <c r="K65" s="612">
        <v>48840</v>
      </c>
      <c r="L65" s="739">
        <v>40240</v>
      </c>
      <c r="M65" s="843">
        <v>0</v>
      </c>
      <c r="O65" s="448">
        <f>+'[1]SUPPORT Sal Bkdwn 2022-23'!P36+1000</f>
        <v>36909.129999999997</v>
      </c>
      <c r="P65" s="843" t="e">
        <f>+O65-#REF!</f>
        <v>#REF!</v>
      </c>
    </row>
    <row r="66" spans="1:16" x14ac:dyDescent="0.2">
      <c r="A66" s="845">
        <v>11185</v>
      </c>
      <c r="B66" s="889" t="s">
        <v>897</v>
      </c>
      <c r="C66" s="889" t="s">
        <v>900</v>
      </c>
      <c r="D66" s="842" t="s">
        <v>80</v>
      </c>
      <c r="E66" s="888">
        <v>2570.54</v>
      </c>
      <c r="F66" s="441">
        <v>1586.43</v>
      </c>
      <c r="G66" s="505">
        <v>4736.58</v>
      </c>
      <c r="H66" s="887">
        <v>11500</v>
      </c>
      <c r="I66" s="521">
        <v>2000</v>
      </c>
      <c r="J66" s="587">
        <v>4011</v>
      </c>
      <c r="K66" s="612">
        <v>2800</v>
      </c>
      <c r="L66" s="739">
        <v>6000</v>
      </c>
      <c r="M66" s="843">
        <v>0</v>
      </c>
      <c r="O66" s="448">
        <v>3000</v>
      </c>
      <c r="P66" s="843" t="e">
        <f>+O66-#REF!</f>
        <v>#REF!</v>
      </c>
    </row>
    <row r="67" spans="1:16" x14ac:dyDescent="0.2">
      <c r="A67" s="845">
        <v>11193</v>
      </c>
      <c r="B67" s="889" t="s">
        <v>897</v>
      </c>
      <c r="C67" s="889" t="s">
        <v>901</v>
      </c>
      <c r="D67" s="842" t="s">
        <v>81</v>
      </c>
      <c r="E67" s="888">
        <v>144.99</v>
      </c>
      <c r="F67" s="441">
        <v>443.97</v>
      </c>
      <c r="G67" s="505">
        <v>45.37</v>
      </c>
      <c r="H67" s="887">
        <v>223</v>
      </c>
      <c r="I67" s="521">
        <v>2000</v>
      </c>
      <c r="J67" s="587">
        <v>230</v>
      </c>
      <c r="K67" s="612">
        <v>250</v>
      </c>
      <c r="L67" s="739">
        <v>600</v>
      </c>
      <c r="M67" s="843">
        <v>0</v>
      </c>
      <c r="O67" s="448">
        <v>850</v>
      </c>
      <c r="P67" s="843" t="e">
        <f>+O67-#REF!</f>
        <v>#REF!</v>
      </c>
    </row>
    <row r="68" spans="1:16" x14ac:dyDescent="0.2">
      <c r="A68" s="845">
        <v>11187</v>
      </c>
      <c r="B68" s="889" t="s">
        <v>897</v>
      </c>
      <c r="C68" s="889" t="s">
        <v>902</v>
      </c>
      <c r="D68" s="842" t="s">
        <v>82</v>
      </c>
      <c r="E68" s="888">
        <v>40385.449999999997</v>
      </c>
      <c r="F68" s="441">
        <v>31786.6</v>
      </c>
      <c r="G68" s="505">
        <v>33107.120000000003</v>
      </c>
      <c r="H68" s="887">
        <v>37594</v>
      </c>
      <c r="I68" s="521">
        <v>35500</v>
      </c>
      <c r="J68" s="587">
        <v>29000</v>
      </c>
      <c r="K68" s="612">
        <v>22000</v>
      </c>
      <c r="L68" s="739">
        <v>22018</v>
      </c>
      <c r="M68" s="843">
        <v>0</v>
      </c>
      <c r="O68" s="448">
        <f>+'[1]Support MESSA 18-19 CAP'!T34</f>
        <v>44666.751250000008</v>
      </c>
      <c r="P68" s="843" t="e">
        <f>+O68-#REF!</f>
        <v>#REF!</v>
      </c>
    </row>
    <row r="69" spans="1:16" x14ac:dyDescent="0.2">
      <c r="A69" s="845">
        <v>11191</v>
      </c>
      <c r="B69" s="889" t="s">
        <v>897</v>
      </c>
      <c r="C69" s="889" t="s">
        <v>903</v>
      </c>
      <c r="D69" s="842" t="s">
        <v>83</v>
      </c>
      <c r="E69" s="888">
        <v>9764.9699999999993</v>
      </c>
      <c r="F69" s="441">
        <v>8135.53</v>
      </c>
      <c r="G69" s="505">
        <v>10820</v>
      </c>
      <c r="H69" s="887">
        <v>12075</v>
      </c>
      <c r="I69" s="521">
        <v>12930</v>
      </c>
      <c r="J69" s="587">
        <v>14258</v>
      </c>
      <c r="K69" s="612">
        <v>18500</v>
      </c>
      <c r="L69" s="739">
        <v>16310</v>
      </c>
      <c r="M69" s="843">
        <v>0</v>
      </c>
      <c r="O69" s="448">
        <f>SUM(O64:O67)*R1</f>
        <v>15334.2189</v>
      </c>
      <c r="P69" s="843" t="e">
        <f>+O69-#REF!</f>
        <v>#REF!</v>
      </c>
    </row>
    <row r="70" spans="1:16" x14ac:dyDescent="0.2">
      <c r="A70" s="845">
        <v>11195</v>
      </c>
      <c r="B70" s="889" t="s">
        <v>897</v>
      </c>
      <c r="C70" s="889" t="s">
        <v>904</v>
      </c>
      <c r="D70" s="842" t="s">
        <v>84</v>
      </c>
      <c r="E70" s="888">
        <v>1510.42</v>
      </c>
      <c r="F70" s="441">
        <v>1503.76</v>
      </c>
      <c r="G70" s="505">
        <v>2180</v>
      </c>
      <c r="H70" s="887">
        <v>2400</v>
      </c>
      <c r="I70" s="521">
        <v>3411</v>
      </c>
      <c r="J70" s="587">
        <v>3519</v>
      </c>
      <c r="K70" s="612">
        <v>4423</v>
      </c>
      <c r="L70" s="739">
        <v>4160</v>
      </c>
      <c r="M70" s="843">
        <v>0</v>
      </c>
      <c r="O70" s="448">
        <f>SUM(O64:O67)*7.65%</f>
        <v>4189.5276637500001</v>
      </c>
      <c r="P70" s="843" t="e">
        <f>+O70-#REF!</f>
        <v>#REF!</v>
      </c>
    </row>
    <row r="71" spans="1:16" x14ac:dyDescent="0.2">
      <c r="A71" s="845">
        <v>11205</v>
      </c>
      <c r="B71" s="889" t="s">
        <v>897</v>
      </c>
      <c r="C71" s="889" t="s">
        <v>916</v>
      </c>
      <c r="D71" s="842" t="s">
        <v>85</v>
      </c>
      <c r="E71" s="888">
        <v>0</v>
      </c>
      <c r="F71" s="441">
        <v>0</v>
      </c>
      <c r="G71" s="505"/>
      <c r="H71" s="865">
        <v>300</v>
      </c>
      <c r="I71" s="521">
        <v>0</v>
      </c>
      <c r="J71" s="587">
        <v>6971</v>
      </c>
      <c r="K71" s="612">
        <v>100</v>
      </c>
      <c r="L71" s="739">
        <v>3000</v>
      </c>
      <c r="M71" s="843">
        <v>0</v>
      </c>
      <c r="O71" s="448">
        <v>0</v>
      </c>
      <c r="P71" s="843" t="e">
        <f>+O71-#REF!</f>
        <v>#REF!</v>
      </c>
    </row>
    <row r="72" spans="1:16" x14ac:dyDescent="0.2">
      <c r="A72" s="845">
        <v>11201</v>
      </c>
      <c r="B72" s="889" t="s">
        <v>897</v>
      </c>
      <c r="C72" s="889" t="s">
        <v>905</v>
      </c>
      <c r="D72" s="842" t="s">
        <v>86</v>
      </c>
      <c r="E72" s="888">
        <v>0</v>
      </c>
      <c r="F72" s="441">
        <v>0</v>
      </c>
      <c r="G72" s="505"/>
      <c r="H72" s="865"/>
      <c r="I72" s="521">
        <v>0</v>
      </c>
      <c r="J72" s="587">
        <v>0</v>
      </c>
      <c r="K72" s="612">
        <v>0</v>
      </c>
      <c r="L72" s="739">
        <v>0</v>
      </c>
      <c r="M72" s="843">
        <v>0</v>
      </c>
      <c r="O72" s="448">
        <v>0</v>
      </c>
      <c r="P72" s="843" t="e">
        <f>+O72-#REF!</f>
        <v>#REF!</v>
      </c>
    </row>
    <row r="73" spans="1:16" x14ac:dyDescent="0.2">
      <c r="A73" s="845">
        <v>11207</v>
      </c>
      <c r="B73" s="889" t="s">
        <v>897</v>
      </c>
      <c r="C73" s="889" t="s">
        <v>906</v>
      </c>
      <c r="D73" s="842" t="s">
        <v>87</v>
      </c>
      <c r="E73" s="888">
        <v>20001.41</v>
      </c>
      <c r="F73" s="441">
        <v>24976.240000000002</v>
      </c>
      <c r="G73" s="505">
        <v>29572</v>
      </c>
      <c r="H73" s="887">
        <v>36000</v>
      </c>
      <c r="I73" s="521">
        <v>30000</v>
      </c>
      <c r="J73" s="587">
        <v>41636</v>
      </c>
      <c r="K73" s="612">
        <v>30000</v>
      </c>
      <c r="L73" s="739">
        <v>45000</v>
      </c>
      <c r="M73" s="843">
        <v>0</v>
      </c>
      <c r="O73" s="448">
        <v>25000</v>
      </c>
      <c r="P73" s="843" t="e">
        <f>+O73-#REF!</f>
        <v>#REF!</v>
      </c>
    </row>
    <row r="74" spans="1:16" x14ac:dyDescent="0.2">
      <c r="A74" s="845">
        <v>11209</v>
      </c>
      <c r="B74" s="889" t="s">
        <v>897</v>
      </c>
      <c r="C74" s="889" t="s">
        <v>907</v>
      </c>
      <c r="D74" s="842" t="s">
        <v>88</v>
      </c>
      <c r="E74" s="888">
        <v>5249.3</v>
      </c>
      <c r="F74" s="441">
        <v>4016.15</v>
      </c>
      <c r="G74" s="505">
        <v>5444.83</v>
      </c>
      <c r="H74" s="887">
        <v>10013</v>
      </c>
      <c r="I74" s="521">
        <v>6000</v>
      </c>
      <c r="J74" s="587">
        <v>12000</v>
      </c>
      <c r="K74" s="612">
        <v>6000</v>
      </c>
      <c r="L74" s="739">
        <v>8000</v>
      </c>
      <c r="M74" s="843">
        <v>0</v>
      </c>
      <c r="O74" s="448">
        <v>9000</v>
      </c>
      <c r="P74" s="843" t="e">
        <f>+O74-#REF!</f>
        <v>#REF!</v>
      </c>
    </row>
    <row r="75" spans="1:16" x14ac:dyDescent="0.2">
      <c r="A75" s="845">
        <v>11182</v>
      </c>
      <c r="B75" s="889" t="s">
        <v>908</v>
      </c>
      <c r="C75" s="889" t="s">
        <v>909</v>
      </c>
      <c r="D75" s="842" t="s">
        <v>105</v>
      </c>
      <c r="E75" s="888">
        <v>9750.41</v>
      </c>
      <c r="F75" s="441">
        <v>9727.2199999999993</v>
      </c>
      <c r="G75" s="505">
        <v>8717</v>
      </c>
      <c r="H75" s="887">
        <v>8529</v>
      </c>
      <c r="I75" s="521">
        <v>8500</v>
      </c>
      <c r="J75" s="587">
        <v>7500</v>
      </c>
      <c r="K75" s="612">
        <v>7500</v>
      </c>
      <c r="L75" s="739">
        <v>5000</v>
      </c>
      <c r="M75" s="843">
        <v>0</v>
      </c>
      <c r="O75" s="448" t="e">
        <f>+(O22+O23)/2</f>
        <v>#REF!</v>
      </c>
      <c r="P75" s="843" t="e">
        <f>+O75-#REF!</f>
        <v>#REF!</v>
      </c>
    </row>
    <row r="76" spans="1:16" x14ac:dyDescent="0.2">
      <c r="A76" s="845">
        <v>11213</v>
      </c>
      <c r="B76" s="889" t="s">
        <v>897</v>
      </c>
      <c r="C76" s="889" t="s">
        <v>917</v>
      </c>
      <c r="D76" s="842" t="s">
        <v>90</v>
      </c>
      <c r="E76" s="888">
        <v>0</v>
      </c>
      <c r="F76" s="441">
        <v>0</v>
      </c>
      <c r="G76" s="505">
        <v>669.06</v>
      </c>
      <c r="H76" s="887">
        <v>750</v>
      </c>
      <c r="I76" s="521">
        <v>750</v>
      </c>
      <c r="J76" s="587">
        <v>270</v>
      </c>
      <c r="K76" s="612">
        <v>250</v>
      </c>
      <c r="L76" s="739">
        <v>0</v>
      </c>
      <c r="M76" s="843">
        <v>0</v>
      </c>
      <c r="O76" s="448">
        <v>100</v>
      </c>
      <c r="P76" s="843" t="e">
        <f>+O76-#REF!</f>
        <v>#REF!</v>
      </c>
    </row>
    <row r="77" spans="1:16" x14ac:dyDescent="0.2">
      <c r="A77" s="845">
        <v>11215</v>
      </c>
      <c r="B77" s="889" t="s">
        <v>897</v>
      </c>
      <c r="C77" s="889" t="s">
        <v>918</v>
      </c>
      <c r="D77" s="842" t="s">
        <v>93</v>
      </c>
      <c r="E77" s="888">
        <v>687.68</v>
      </c>
      <c r="F77" s="441">
        <v>811.84</v>
      </c>
      <c r="G77" s="505">
        <v>649.94000000000005</v>
      </c>
      <c r="H77" s="887">
        <v>1000</v>
      </c>
      <c r="I77" s="521">
        <v>750</v>
      </c>
      <c r="J77" s="587">
        <v>2000</v>
      </c>
      <c r="K77" s="612">
        <v>1000</v>
      </c>
      <c r="L77" s="739">
        <v>2000</v>
      </c>
      <c r="M77" s="843">
        <v>0</v>
      </c>
      <c r="O77" s="448">
        <v>750</v>
      </c>
      <c r="P77" s="843" t="e">
        <f>+O77-#REF!</f>
        <v>#REF!</v>
      </c>
    </row>
    <row r="78" spans="1:16" x14ac:dyDescent="0.2">
      <c r="A78" s="845">
        <v>11217</v>
      </c>
      <c r="B78" s="889" t="s">
        <v>897</v>
      </c>
      <c r="C78" s="889" t="s">
        <v>919</v>
      </c>
      <c r="D78" s="842" t="s">
        <v>89</v>
      </c>
      <c r="E78" s="888">
        <v>0</v>
      </c>
      <c r="F78" s="441">
        <v>0</v>
      </c>
      <c r="G78" s="505">
        <v>0</v>
      </c>
      <c r="H78" s="887">
        <v>0</v>
      </c>
      <c r="I78" s="521">
        <v>0</v>
      </c>
      <c r="J78" s="587">
        <v>0</v>
      </c>
      <c r="K78" s="612">
        <v>0</v>
      </c>
      <c r="L78" s="739">
        <v>0</v>
      </c>
      <c r="M78" s="843">
        <v>0</v>
      </c>
      <c r="O78" s="448">
        <v>46</v>
      </c>
      <c r="P78" s="843" t="e">
        <f>+O78-#REF!</f>
        <v>#REF!</v>
      </c>
    </row>
    <row r="79" spans="1:16" x14ac:dyDescent="0.2">
      <c r="B79" s="889">
        <v>2510298000</v>
      </c>
      <c r="C79" s="889">
        <v>6420.1059999999998</v>
      </c>
      <c r="D79" s="842" t="s">
        <v>1491</v>
      </c>
      <c r="E79" s="888"/>
      <c r="F79" s="441"/>
      <c r="G79" s="505"/>
      <c r="H79" s="887"/>
      <c r="I79" s="521"/>
      <c r="J79" s="587"/>
      <c r="K79" s="612"/>
      <c r="L79" s="739">
        <v>3305</v>
      </c>
      <c r="O79" s="448"/>
    </row>
    <row r="80" spans="1:16" s="847" customFormat="1" x14ac:dyDescent="0.2">
      <c r="A80" s="883" t="s">
        <v>94</v>
      </c>
      <c r="B80" s="883"/>
      <c r="C80" s="883"/>
      <c r="D80" s="883"/>
      <c r="E80" s="886">
        <f>SUM(E64:E78)</f>
        <v>125013.81</v>
      </c>
      <c r="F80" s="442">
        <f>SUM(F61:F78)</f>
        <v>112069.28</v>
      </c>
      <c r="G80" s="503">
        <f>SUM(G61:G78)</f>
        <v>130742.41000000002</v>
      </c>
      <c r="H80" s="885">
        <f>SUM(H64:H78)</f>
        <v>151784</v>
      </c>
      <c r="I80" s="522">
        <f>SUM(I64:I78)</f>
        <v>142428</v>
      </c>
      <c r="J80" s="596">
        <f>SUM(J64:J78)</f>
        <v>163145</v>
      </c>
      <c r="K80" s="619">
        <f>SUM(K64:K78)</f>
        <v>147583</v>
      </c>
      <c r="L80" s="884">
        <f>SUM(L64:L79)</f>
        <v>163158</v>
      </c>
      <c r="M80" s="882">
        <f>SUM(M61:M78)</f>
        <v>0</v>
      </c>
      <c r="N80" s="883"/>
      <c r="O80" s="449" t="e">
        <f>SUM(O61:O78)</f>
        <v>#REF!</v>
      </c>
      <c r="P80" s="882" t="e">
        <f>SUM(P61:P78)</f>
        <v>#REF!</v>
      </c>
    </row>
    <row r="81" spans="1:17" ht="13.5" thickBot="1" x14ac:dyDescent="0.25">
      <c r="A81" s="881"/>
      <c r="B81" s="880"/>
      <c r="C81" s="880"/>
      <c r="D81" s="873"/>
      <c r="E81" s="879"/>
      <c r="F81" s="443"/>
      <c r="G81" s="509"/>
      <c r="H81" s="878"/>
      <c r="I81" s="877"/>
      <c r="J81" s="876"/>
      <c r="K81" s="875"/>
      <c r="L81" s="874"/>
      <c r="M81" s="872"/>
      <c r="N81" s="873"/>
      <c r="O81" s="450"/>
      <c r="P81" s="872"/>
    </row>
    <row r="82" spans="1:17" s="847" customFormat="1" ht="13.5" thickBot="1" x14ac:dyDescent="0.25">
      <c r="A82" s="868" t="s">
        <v>58</v>
      </c>
      <c r="B82" s="868"/>
      <c r="C82" s="868"/>
      <c r="D82" s="868"/>
      <c r="E82" s="871">
        <f t="shared" ref="E82:M82" si="1">+E80+E60</f>
        <v>227658.39</v>
      </c>
      <c r="F82" s="444">
        <f t="shared" si="1"/>
        <v>296972.15999999997</v>
      </c>
      <c r="G82" s="504">
        <f t="shared" si="1"/>
        <v>235900.17</v>
      </c>
      <c r="H82" s="870">
        <f t="shared" si="1"/>
        <v>297556</v>
      </c>
      <c r="I82" s="527">
        <f t="shared" si="1"/>
        <v>274901</v>
      </c>
      <c r="J82" s="633">
        <f t="shared" si="1"/>
        <v>353160</v>
      </c>
      <c r="K82" s="642">
        <f t="shared" si="1"/>
        <v>281262</v>
      </c>
      <c r="L82" s="869">
        <f t="shared" si="1"/>
        <v>333809</v>
      </c>
      <c r="M82" s="867">
        <f t="shared" si="1"/>
        <v>0</v>
      </c>
      <c r="N82" s="868"/>
      <c r="O82" s="451" t="e">
        <f>+O80+O60</f>
        <v>#REF!</v>
      </c>
      <c r="P82" s="867" t="e">
        <f>+P80+P60</f>
        <v>#REF!</v>
      </c>
    </row>
    <row r="83" spans="1:17" s="847" customFormat="1" x14ac:dyDescent="0.2">
      <c r="A83" s="866"/>
      <c r="B83" s="866"/>
      <c r="C83" s="866"/>
      <c r="D83" s="866"/>
      <c r="E83" s="866"/>
      <c r="F83" s="441"/>
      <c r="G83" s="505"/>
      <c r="H83" s="865"/>
      <c r="I83" s="864"/>
      <c r="J83" s="863"/>
      <c r="K83" s="862"/>
      <c r="L83" s="861"/>
      <c r="M83" s="843"/>
      <c r="O83" s="448"/>
      <c r="P83" s="843"/>
    </row>
    <row r="84" spans="1:17" x14ac:dyDescent="0.2">
      <c r="F84" s="455"/>
      <c r="G84" s="508"/>
      <c r="H84" s="860"/>
      <c r="I84" s="859"/>
      <c r="J84" s="858"/>
      <c r="K84" s="857"/>
      <c r="L84" s="856"/>
      <c r="M84" s="843" t="s">
        <v>231</v>
      </c>
      <c r="O84" s="454"/>
    </row>
    <row r="85" spans="1:17" s="848" customFormat="1" ht="15.75" x14ac:dyDescent="0.25">
      <c r="A85" s="943" t="s">
        <v>30</v>
      </c>
      <c r="B85" s="943"/>
      <c r="C85" s="943"/>
      <c r="D85" s="943"/>
      <c r="E85" s="846"/>
      <c r="F85" s="453">
        <f t="shared" ref="F85:L85" si="2">+F30-F82</f>
        <v>23533.410000000033</v>
      </c>
      <c r="G85" s="533">
        <f t="shared" si="2"/>
        <v>44141.079999999987</v>
      </c>
      <c r="H85" s="532">
        <f t="shared" si="2"/>
        <v>56185</v>
      </c>
      <c r="I85" s="529">
        <f t="shared" si="2"/>
        <v>-72690</v>
      </c>
      <c r="J85" s="635">
        <f t="shared" si="2"/>
        <v>-75724</v>
      </c>
      <c r="K85" s="644">
        <f t="shared" si="2"/>
        <v>-58162</v>
      </c>
      <c r="L85" s="855">
        <f t="shared" si="2"/>
        <v>-53308.199999999953</v>
      </c>
      <c r="M85" s="11"/>
      <c r="N85" s="255"/>
      <c r="O85" s="452" t="e">
        <f>+O30-O82</f>
        <v>#REF!</v>
      </c>
      <c r="P85" s="11"/>
    </row>
    <row r="86" spans="1:17" ht="13.5" thickBot="1" x14ac:dyDescent="0.25">
      <c r="H86" s="261"/>
      <c r="I86" s="261"/>
      <c r="J86" s="261"/>
      <c r="K86" s="261"/>
      <c r="L86" s="261"/>
    </row>
    <row r="87" spans="1:17" ht="16.5" thickBot="1" x14ac:dyDescent="0.3">
      <c r="A87" s="854"/>
      <c r="B87" s="854"/>
      <c r="C87" s="854"/>
      <c r="D87" s="853" t="s">
        <v>1490</v>
      </c>
      <c r="F87" s="852">
        <v>23535</v>
      </c>
      <c r="G87" s="531">
        <v>26245</v>
      </c>
      <c r="I87" s="941">
        <v>101128</v>
      </c>
      <c r="J87" s="942"/>
      <c r="M87" s="257"/>
      <c r="O87" s="241"/>
      <c r="P87" s="257"/>
    </row>
    <row r="88" spans="1:17" ht="16.5" thickBot="1" x14ac:dyDescent="0.3">
      <c r="A88" s="946" t="s">
        <v>762</v>
      </c>
      <c r="B88" s="946"/>
      <c r="C88" s="946"/>
      <c r="D88" s="946"/>
      <c r="F88" s="842"/>
      <c r="G88" s="530">
        <f>SUM(G85:G87)</f>
        <v>70386.079999999987</v>
      </c>
      <c r="H88" s="530">
        <v>134990</v>
      </c>
      <c r="I88" s="851">
        <f>H88+I85</f>
        <v>62300</v>
      </c>
      <c r="J88" s="851">
        <f>H88+J85</f>
        <v>59266</v>
      </c>
      <c r="K88" s="530">
        <f>I87+K85</f>
        <v>42966</v>
      </c>
      <c r="L88" s="530">
        <f>I87+L85</f>
        <v>47819.800000000047</v>
      </c>
      <c r="M88" s="13"/>
      <c r="O88" s="241"/>
      <c r="P88" s="13"/>
    </row>
    <row r="89" spans="1:17" ht="24" customHeight="1" x14ac:dyDescent="0.25">
      <c r="A89" s="947"/>
      <c r="B89" s="947"/>
      <c r="C89" s="947"/>
      <c r="D89" s="947"/>
      <c r="I89" s="523"/>
      <c r="J89" s="523"/>
      <c r="K89" s="523"/>
      <c r="L89" s="523"/>
      <c r="M89" s="850"/>
      <c r="O89" s="241" t="e">
        <f>+#REF!</f>
        <v>#REF!</v>
      </c>
      <c r="P89" s="850"/>
      <c r="Q89" s="848"/>
    </row>
    <row r="90" spans="1:17" ht="24" customHeight="1" thickBot="1" x14ac:dyDescent="0.3">
      <c r="A90" s="947"/>
      <c r="B90" s="947"/>
      <c r="C90" s="947"/>
      <c r="D90" s="947"/>
      <c r="F90" s="842"/>
      <c r="G90" s="849"/>
      <c r="H90" s="848"/>
      <c r="I90" s="848"/>
      <c r="J90" s="848"/>
      <c r="K90" s="848"/>
      <c r="L90" s="848"/>
      <c r="M90" s="842"/>
      <c r="O90" s="241"/>
      <c r="P90" s="842"/>
    </row>
    <row r="91" spans="1:17" ht="16.5" customHeight="1" thickBot="1" x14ac:dyDescent="0.3">
      <c r="A91" s="842"/>
      <c r="B91" s="847"/>
      <c r="C91" s="847"/>
      <c r="E91" s="469"/>
      <c r="F91" s="469"/>
      <c r="G91" s="842"/>
      <c r="M91" s="846"/>
      <c r="O91" s="265" t="e">
        <f>+O89+O85</f>
        <v>#REF!</v>
      </c>
    </row>
    <row r="92" spans="1:17" x14ac:dyDescent="0.2">
      <c r="O92" s="6"/>
    </row>
  </sheetData>
  <mergeCells count="6">
    <mergeCell ref="A90:D90"/>
    <mergeCell ref="I87:J87"/>
    <mergeCell ref="A85:D85"/>
    <mergeCell ref="F5:F7"/>
    <mergeCell ref="A88:D88"/>
    <mergeCell ref="A89:D89"/>
  </mergeCells>
  <printOptions horizontalCentered="1" gridLines="1"/>
  <pageMargins left="0.25" right="0.25" top="0.42" bottom="0.48" header="1.55" footer="0.2"/>
  <pageSetup fitToHeight="0" orientation="portrait" r:id="rId1"/>
  <headerFooter alignWithMargins="0">
    <oddFooter>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O65"/>
  <sheetViews>
    <sheetView topLeftCell="A4" zoomScaleNormal="100" workbookViewId="0">
      <selection activeCell="K59" sqref="K59"/>
    </sheetView>
  </sheetViews>
  <sheetFormatPr defaultRowHeight="12.75" x14ac:dyDescent="0.2"/>
  <cols>
    <col min="1" max="1" width="28" customWidth="1"/>
    <col min="2" max="2" width="16.85546875" customWidth="1"/>
    <col min="3" max="3" width="15.7109375" style="171" customWidth="1"/>
    <col min="4" max="4" width="49.5703125" bestFit="1" customWidth="1"/>
    <col min="5" max="5" width="0.7109375" hidden="1" customWidth="1"/>
    <col min="6" max="6" width="16.5703125" style="173" hidden="1" customWidth="1"/>
    <col min="7" max="7" width="1" hidden="1" customWidth="1"/>
    <col min="8" max="8" width="16.5703125" style="173" hidden="1" customWidth="1"/>
    <col min="9" max="9" width="5.28515625" style="174" hidden="1" customWidth="1"/>
    <col min="10" max="10" width="20.5703125" style="296" hidden="1" customWidth="1"/>
    <col min="15" max="15" width="12.85546875" style="432" hidden="1" customWidth="1"/>
  </cols>
  <sheetData>
    <row r="1" spans="1:15" x14ac:dyDescent="0.2">
      <c r="D1" s="172">
        <v>45239</v>
      </c>
    </row>
    <row r="2" spans="1:15" s="175" customFormat="1" ht="33.75" x14ac:dyDescent="0.5">
      <c r="A2" s="175" t="s">
        <v>554</v>
      </c>
      <c r="C2" s="176"/>
      <c r="I2" s="177"/>
      <c r="J2" s="297"/>
      <c r="O2" s="433"/>
    </row>
    <row r="3" spans="1:15" ht="6" customHeight="1" x14ac:dyDescent="0.2"/>
    <row r="4" spans="1:15" ht="24" thickBot="1" x14ac:dyDescent="0.4">
      <c r="A4" s="74" t="s">
        <v>236</v>
      </c>
      <c r="B4" s="17"/>
      <c r="C4" s="159"/>
    </row>
    <row r="5" spans="1:15" x14ac:dyDescent="0.2">
      <c r="A5" s="948" t="s">
        <v>582</v>
      </c>
      <c r="B5" s="948"/>
      <c r="C5" s="308" t="s">
        <v>237</v>
      </c>
      <c r="D5" s="178"/>
      <c r="E5" s="232"/>
      <c r="F5" s="267"/>
      <c r="G5" s="232"/>
      <c r="H5" s="267"/>
      <c r="I5" s="269"/>
    </row>
    <row r="6" spans="1:15" x14ac:dyDescent="0.2">
      <c r="A6" s="306">
        <v>132149</v>
      </c>
      <c r="B6" s="307">
        <f>+A6/$A$11</f>
        <v>0.15278948421163382</v>
      </c>
      <c r="C6" s="309">
        <f>+B6*$C$11</f>
        <v>142319.73759551582</v>
      </c>
      <c r="D6" s="179" t="s">
        <v>238</v>
      </c>
      <c r="E6" s="180"/>
      <c r="F6" s="267"/>
      <c r="G6" s="180"/>
      <c r="H6" s="267"/>
      <c r="I6" s="269"/>
    </row>
    <row r="7" spans="1:15" x14ac:dyDescent="0.2">
      <c r="A7" s="306">
        <v>12413</v>
      </c>
      <c r="B7" s="307">
        <f>+A7/$A$11</f>
        <v>1.4351798859764437E-2</v>
      </c>
      <c r="C7" s="309">
        <f>+B7*$C$11</f>
        <v>13368.356194697939</v>
      </c>
      <c r="D7" s="179" t="s">
        <v>239</v>
      </c>
      <c r="E7" s="180"/>
      <c r="F7" s="267"/>
      <c r="G7" s="180"/>
      <c r="H7" s="267"/>
      <c r="I7" s="269"/>
    </row>
    <row r="8" spans="1:15" x14ac:dyDescent="0.2">
      <c r="A8" s="306">
        <v>275228</v>
      </c>
      <c r="B8" s="307">
        <f>+A8/$A$11</f>
        <v>0.31821613603280807</v>
      </c>
      <c r="C8" s="309">
        <f>+B8*$C$11</f>
        <v>296410.69352729595</v>
      </c>
      <c r="D8" s="179" t="s">
        <v>240</v>
      </c>
      <c r="E8" s="180"/>
      <c r="F8" s="267"/>
      <c r="G8" s="180"/>
      <c r="H8" s="267"/>
      <c r="I8" s="269"/>
    </row>
    <row r="9" spans="1:15" x14ac:dyDescent="0.2">
      <c r="A9" s="306">
        <v>445119</v>
      </c>
      <c r="B9" s="307">
        <f>+A9/$A$11</f>
        <v>0.51464258089579362</v>
      </c>
      <c r="C9" s="309">
        <f>+B9*$C$11</f>
        <v>479377.21268249024</v>
      </c>
      <c r="D9" s="179" t="s">
        <v>241</v>
      </c>
      <c r="E9" s="180"/>
      <c r="F9" s="268"/>
      <c r="G9" s="180"/>
      <c r="H9" s="268"/>
    </row>
    <row r="10" spans="1:15" ht="13.5" thickBot="1" x14ac:dyDescent="0.25">
      <c r="A10" s="306"/>
      <c r="C10" s="309"/>
      <c r="D10" s="179"/>
      <c r="E10" s="9"/>
      <c r="F10" s="268"/>
      <c r="G10" s="9"/>
      <c r="H10" s="268"/>
    </row>
    <row r="11" spans="1:15" ht="13.5" thickBot="1" x14ac:dyDescent="0.25">
      <c r="A11" s="474">
        <f>SUM(A6:A10)</f>
        <v>864909</v>
      </c>
      <c r="B11" s="475">
        <f>SUM(B6:B10)</f>
        <v>1</v>
      </c>
      <c r="C11" s="310">
        <v>931476</v>
      </c>
      <c r="D11" s="181"/>
      <c r="E11" s="182"/>
      <c r="F11" s="268"/>
      <c r="G11" s="182"/>
      <c r="H11" s="268"/>
      <c r="I11" s="270"/>
    </row>
    <row r="12" spans="1:15" ht="13.5" thickBot="1" x14ac:dyDescent="0.25">
      <c r="A12" s="183"/>
      <c r="B12" s="184"/>
      <c r="C12" s="266">
        <f>SUM(C6:C9)-C11</f>
        <v>0</v>
      </c>
      <c r="D12" s="184"/>
      <c r="E12" s="185"/>
      <c r="F12" s="186"/>
      <c r="G12" s="185"/>
      <c r="H12" s="186"/>
    </row>
    <row r="13" spans="1:15" s="74" customFormat="1" ht="24" thickTop="1" x14ac:dyDescent="0.35">
      <c r="A13" s="74" t="s">
        <v>242</v>
      </c>
      <c r="C13" s="187"/>
      <c r="F13" s="188"/>
      <c r="H13" s="188"/>
      <c r="I13" s="177"/>
      <c r="J13" s="298"/>
      <c r="O13" s="434"/>
    </row>
    <row r="14" spans="1:15" ht="2.25" customHeight="1" x14ac:dyDescent="0.2"/>
    <row r="15" spans="1:15" ht="15.75" x14ac:dyDescent="0.25">
      <c r="A15" s="189" t="s">
        <v>243</v>
      </c>
      <c r="B15" s="190"/>
    </row>
    <row r="16" spans="1:15" s="193" customFormat="1" x14ac:dyDescent="0.2">
      <c r="A16" s="191" t="s">
        <v>244</v>
      </c>
      <c r="B16" s="192" t="s">
        <v>245</v>
      </c>
      <c r="C16" s="191" t="s">
        <v>246</v>
      </c>
      <c r="F16" s="194"/>
      <c r="H16" s="194"/>
      <c r="I16" s="195"/>
      <c r="J16" s="299"/>
      <c r="O16" s="435"/>
    </row>
    <row r="17" spans="1:15" hidden="1" x14ac:dyDescent="0.2">
      <c r="A17" s="196">
        <v>437.16</v>
      </c>
      <c r="B17" s="196">
        <v>10.32</v>
      </c>
      <c r="C17" s="197">
        <f t="shared" ref="C17:C22" si="0">+A17+B17</f>
        <v>447.48</v>
      </c>
      <c r="D17" s="76">
        <v>2010</v>
      </c>
    </row>
    <row r="18" spans="1:15" hidden="1" x14ac:dyDescent="0.2">
      <c r="A18" s="196">
        <v>440.59</v>
      </c>
      <c r="B18" s="196">
        <v>6.73</v>
      </c>
      <c r="C18" s="197">
        <f t="shared" si="0"/>
        <v>447.32</v>
      </c>
      <c r="D18" s="76">
        <v>2011</v>
      </c>
    </row>
    <row r="19" spans="1:15" hidden="1" x14ac:dyDescent="0.2">
      <c r="A19" s="198">
        <v>429.28</v>
      </c>
      <c r="B19" s="196">
        <v>5.93</v>
      </c>
      <c r="C19" s="199">
        <f t="shared" si="0"/>
        <v>435.21</v>
      </c>
      <c r="D19" s="76">
        <v>2012</v>
      </c>
    </row>
    <row r="20" spans="1:15" hidden="1" x14ac:dyDescent="0.2">
      <c r="A20" s="198">
        <v>432</v>
      </c>
      <c r="B20" s="326">
        <v>6.54</v>
      </c>
      <c r="C20" s="325">
        <f t="shared" si="0"/>
        <v>438.54</v>
      </c>
      <c r="D20" s="76">
        <v>2013</v>
      </c>
    </row>
    <row r="21" spans="1:15" hidden="1" x14ac:dyDescent="0.2">
      <c r="A21" s="200">
        <v>408.73</v>
      </c>
      <c r="B21" s="345">
        <v>5.24</v>
      </c>
      <c r="C21" s="325">
        <f t="shared" si="0"/>
        <v>413.97</v>
      </c>
      <c r="D21" s="76">
        <v>2014</v>
      </c>
    </row>
    <row r="22" spans="1:15" hidden="1" x14ac:dyDescent="0.2">
      <c r="A22" s="200">
        <v>360.91</v>
      </c>
      <c r="B22" s="345">
        <v>4.68</v>
      </c>
      <c r="C22" s="325">
        <f t="shared" si="0"/>
        <v>365.59000000000003</v>
      </c>
      <c r="D22" s="76">
        <v>2015</v>
      </c>
    </row>
    <row r="23" spans="1:15" hidden="1" x14ac:dyDescent="0.2">
      <c r="A23" s="200">
        <v>360.73</v>
      </c>
      <c r="B23" s="345">
        <v>5.61</v>
      </c>
      <c r="C23" s="325">
        <f>+A23+B23</f>
        <v>366.34000000000003</v>
      </c>
      <c r="D23" s="76">
        <v>2016</v>
      </c>
      <c r="F23" s="472"/>
      <c r="H23" s="472"/>
      <c r="I23" s="473"/>
      <c r="J23" s="415"/>
      <c r="O23" s="436"/>
    </row>
    <row r="24" spans="1:15" x14ac:dyDescent="0.2">
      <c r="A24" s="200">
        <v>322.72000000000003</v>
      </c>
      <c r="B24" s="200">
        <v>3.95</v>
      </c>
      <c r="C24" s="491">
        <f>+A24+B24</f>
        <v>326.67</v>
      </c>
      <c r="D24" s="76">
        <v>2022</v>
      </c>
      <c r="F24" s="472"/>
      <c r="H24" s="472"/>
      <c r="I24" s="473"/>
      <c r="J24" s="415"/>
      <c r="O24" s="436"/>
    </row>
    <row r="25" spans="1:15" x14ac:dyDescent="0.2">
      <c r="A25" s="492">
        <v>323.58</v>
      </c>
      <c r="B25" s="492">
        <v>3.44</v>
      </c>
      <c r="C25" s="491">
        <f>+A25+B25</f>
        <v>327.02</v>
      </c>
      <c r="D25" s="76">
        <v>2023</v>
      </c>
    </row>
    <row r="26" spans="1:15" x14ac:dyDescent="0.2">
      <c r="A26" s="492">
        <v>281.57</v>
      </c>
      <c r="B26" s="492">
        <v>2.5499999999999998</v>
      </c>
      <c r="C26" s="491">
        <f>+A26+B26</f>
        <v>284.12</v>
      </c>
      <c r="D26" s="76" t="s">
        <v>1413</v>
      </c>
    </row>
    <row r="27" spans="1:15" ht="13.5" thickBot="1" x14ac:dyDescent="0.25">
      <c r="A27" s="200"/>
      <c r="B27" s="201"/>
      <c r="C27" s="202"/>
      <c r="D27" s="76"/>
    </row>
    <row r="28" spans="1:15" s="9" customFormat="1" ht="13.5" hidden="1" thickBot="1" x14ac:dyDescent="0.25">
      <c r="A28" s="235">
        <f t="shared" ref="A28:C33" si="1">(+A18+A17+A19)/3</f>
        <v>435.67666666666668</v>
      </c>
      <c r="B28" s="236">
        <f t="shared" si="1"/>
        <v>7.66</v>
      </c>
      <c r="C28" s="237">
        <f t="shared" si="1"/>
        <v>443.33666666666664</v>
      </c>
      <c r="D28" s="238" t="s">
        <v>260</v>
      </c>
      <c r="F28" s="173"/>
      <c r="H28" s="173"/>
      <c r="I28" s="174"/>
      <c r="J28" s="300"/>
      <c r="O28" s="424"/>
    </row>
    <row r="29" spans="1:15" ht="13.5" hidden="1" thickBot="1" x14ac:dyDescent="0.25">
      <c r="A29" s="235">
        <f t="shared" si="1"/>
        <v>433.95666666666665</v>
      </c>
      <c r="B29" s="236">
        <f t="shared" si="1"/>
        <v>6.3999999999999995</v>
      </c>
      <c r="C29" s="237">
        <f t="shared" si="1"/>
        <v>440.35666666666663</v>
      </c>
      <c r="D29" s="238" t="s">
        <v>261</v>
      </c>
    </row>
    <row r="30" spans="1:15" ht="13.5" hidden="1" thickBot="1" x14ac:dyDescent="0.25">
      <c r="A30" s="343">
        <f t="shared" si="1"/>
        <v>423.33666666666664</v>
      </c>
      <c r="B30" s="203">
        <f t="shared" si="1"/>
        <v>5.9033333333333333</v>
      </c>
      <c r="C30" s="204">
        <f t="shared" si="1"/>
        <v>429.24</v>
      </c>
      <c r="D30" s="344" t="s">
        <v>393</v>
      </c>
    </row>
    <row r="31" spans="1:15" ht="13.5" hidden="1" thickBot="1" x14ac:dyDescent="0.25">
      <c r="A31" s="343">
        <f t="shared" si="1"/>
        <v>400.54666666666668</v>
      </c>
      <c r="B31" s="203">
        <f t="shared" si="1"/>
        <v>5.4866666666666672</v>
      </c>
      <c r="C31" s="204">
        <f t="shared" si="1"/>
        <v>406.0333333333333</v>
      </c>
      <c r="D31" s="344" t="s">
        <v>453</v>
      </c>
    </row>
    <row r="32" spans="1:15" ht="13.5" hidden="1" thickBot="1" x14ac:dyDescent="0.25">
      <c r="A32" s="343">
        <f t="shared" si="1"/>
        <v>376.79</v>
      </c>
      <c r="B32" s="203">
        <f t="shared" si="1"/>
        <v>5.1766666666666667</v>
      </c>
      <c r="C32" s="204">
        <f t="shared" si="1"/>
        <v>381.9666666666667</v>
      </c>
      <c r="D32" s="344" t="s">
        <v>465</v>
      </c>
    </row>
    <row r="33" spans="1:15" ht="13.5" hidden="1" thickBot="1" x14ac:dyDescent="0.25">
      <c r="A33" s="343">
        <f t="shared" si="1"/>
        <v>348.12000000000006</v>
      </c>
      <c r="B33" s="203">
        <f t="shared" si="1"/>
        <v>4.7466666666666661</v>
      </c>
      <c r="C33" s="204">
        <f t="shared" si="1"/>
        <v>352.86666666666673</v>
      </c>
      <c r="D33" s="344" t="s">
        <v>497</v>
      </c>
      <c r="F33" s="472"/>
      <c r="H33" s="472"/>
      <c r="I33" s="473"/>
      <c r="J33" s="415"/>
      <c r="O33" s="436"/>
    </row>
    <row r="34" spans="1:15" ht="13.5" hidden="1" thickBot="1" x14ac:dyDescent="0.25">
      <c r="A34" s="343">
        <v>362.1</v>
      </c>
      <c r="B34" s="203">
        <v>4</v>
      </c>
      <c r="C34" s="204">
        <f>+A34+B34</f>
        <v>366.1</v>
      </c>
      <c r="D34" s="344" t="s">
        <v>604</v>
      </c>
    </row>
    <row r="35" spans="1:15" ht="13.5" thickBot="1" x14ac:dyDescent="0.25">
      <c r="A35" s="239">
        <f>+(A24+A25+A26)/3</f>
        <v>309.28999999999996</v>
      </c>
      <c r="B35" s="203">
        <f>+(B24+B25+B26)/3</f>
        <v>3.3133333333333339</v>
      </c>
      <c r="C35" s="204">
        <f>+A35+B35</f>
        <v>312.6033333333333</v>
      </c>
      <c r="D35" s="240" t="s">
        <v>1414</v>
      </c>
    </row>
    <row r="36" spans="1:15" x14ac:dyDescent="0.2">
      <c r="C36" s="171">
        <f>+B29+A29-C29</f>
        <v>0</v>
      </c>
      <c r="L36" s="84"/>
    </row>
    <row r="37" spans="1:15" hidden="1" x14ac:dyDescent="0.2">
      <c r="A37" s="12" t="s">
        <v>390</v>
      </c>
    </row>
    <row r="38" spans="1:15" hidden="1" x14ac:dyDescent="0.2">
      <c r="A38" s="205">
        <v>7316</v>
      </c>
      <c r="B38" s="81" t="s">
        <v>247</v>
      </c>
      <c r="D38" s="206"/>
      <c r="E38" s="207"/>
      <c r="F38" s="9"/>
      <c r="G38" s="207"/>
      <c r="H38" s="9"/>
      <c r="I38" s="9"/>
    </row>
    <row r="39" spans="1:15" hidden="1" x14ac:dyDescent="0.2">
      <c r="A39" s="205">
        <f>-165+11</f>
        <v>-154</v>
      </c>
      <c r="B39" s="81" t="s">
        <v>248</v>
      </c>
      <c r="D39" s="206"/>
      <c r="E39" s="207"/>
      <c r="F39" s="9"/>
      <c r="G39" s="207"/>
      <c r="H39" s="9"/>
      <c r="I39" s="9"/>
    </row>
    <row r="40" spans="1:15" hidden="1" x14ac:dyDescent="0.2">
      <c r="A40" s="205">
        <v>-16</v>
      </c>
      <c r="B40" s="81" t="s">
        <v>249</v>
      </c>
      <c r="D40" s="206"/>
      <c r="E40" s="207"/>
      <c r="F40" s="9"/>
      <c r="G40" s="207"/>
      <c r="H40" s="9"/>
      <c r="I40" s="9"/>
    </row>
    <row r="41" spans="1:15" hidden="1" x14ac:dyDescent="0.2">
      <c r="A41" s="205">
        <v>-300</v>
      </c>
      <c r="B41" s="81" t="s">
        <v>250</v>
      </c>
      <c r="D41" s="206"/>
      <c r="E41" s="207"/>
      <c r="F41" s="9"/>
      <c r="G41" s="207"/>
      <c r="H41" s="9"/>
      <c r="I41" s="9"/>
    </row>
    <row r="42" spans="1:15" hidden="1" x14ac:dyDescent="0.2">
      <c r="A42" s="205">
        <v>120</v>
      </c>
      <c r="B42" s="81" t="s">
        <v>391</v>
      </c>
      <c r="D42" s="206"/>
      <c r="E42" s="207"/>
      <c r="F42" s="186"/>
      <c r="G42" s="207"/>
      <c r="H42" s="3"/>
      <c r="I42" s="9"/>
    </row>
    <row r="43" spans="1:15" ht="13.5" hidden="1" thickBot="1" x14ac:dyDescent="0.25">
      <c r="A43" s="205">
        <v>60</v>
      </c>
      <c r="B43" s="81" t="s">
        <v>438</v>
      </c>
      <c r="D43" s="206"/>
      <c r="E43" s="207"/>
      <c r="F43" s="186"/>
      <c r="G43" s="207"/>
      <c r="H43" s="3"/>
      <c r="I43" s="9"/>
    </row>
    <row r="44" spans="1:15" ht="13.5" hidden="1" thickBot="1" x14ac:dyDescent="0.25">
      <c r="A44" s="205">
        <v>100</v>
      </c>
      <c r="B44" s="81" t="s">
        <v>439</v>
      </c>
      <c r="D44" s="206"/>
      <c r="E44" s="207"/>
      <c r="F44" s="186"/>
      <c r="G44" s="207"/>
      <c r="H44" s="275" t="s">
        <v>394</v>
      </c>
      <c r="I44" s="9"/>
    </row>
    <row r="45" spans="1:15" ht="18" hidden="1" x14ac:dyDescent="0.25">
      <c r="A45" s="305">
        <f>SUM(A38:A44)</f>
        <v>7126</v>
      </c>
      <c r="B45" s="76" t="s">
        <v>437</v>
      </c>
      <c r="D45" s="208"/>
      <c r="F45" s="186"/>
      <c r="H45" s="274" t="s">
        <v>437</v>
      </c>
      <c r="I45"/>
    </row>
    <row r="46" spans="1:15" hidden="1" x14ac:dyDescent="0.2">
      <c r="A46" s="205">
        <f>140+125</f>
        <v>265</v>
      </c>
      <c r="B46" s="81" t="s">
        <v>439</v>
      </c>
      <c r="C46" s="209"/>
      <c r="D46" s="81"/>
      <c r="F46" s="186"/>
      <c r="H46" s="272"/>
    </row>
    <row r="47" spans="1:15" hidden="1" x14ac:dyDescent="0.2">
      <c r="A47" s="365">
        <f>SUM(A45:A46)</f>
        <v>7391</v>
      </c>
      <c r="B47" s="366" t="s">
        <v>467</v>
      </c>
      <c r="C47" s="209"/>
      <c r="D47" s="81"/>
      <c r="F47" s="186"/>
      <c r="H47" s="272"/>
    </row>
    <row r="48" spans="1:15" hidden="1" x14ac:dyDescent="0.2">
      <c r="A48" s="365">
        <v>7511</v>
      </c>
      <c r="B48" s="366" t="s">
        <v>496</v>
      </c>
      <c r="C48" s="209"/>
      <c r="D48" s="81"/>
      <c r="F48" s="186"/>
      <c r="H48" s="272"/>
    </row>
    <row r="49" spans="1:15" hidden="1" x14ac:dyDescent="0.2">
      <c r="A49" s="365">
        <v>7631</v>
      </c>
      <c r="B49" s="366" t="s">
        <v>550</v>
      </c>
      <c r="C49" s="209" t="s">
        <v>551</v>
      </c>
      <c r="D49" s="81"/>
      <c r="F49" s="186"/>
      <c r="H49" s="272"/>
      <c r="L49" s="84"/>
    </row>
    <row r="50" spans="1:15" x14ac:dyDescent="0.2">
      <c r="A50" s="365">
        <v>9608</v>
      </c>
      <c r="B50" s="366" t="s">
        <v>1271</v>
      </c>
      <c r="C50" s="209"/>
      <c r="D50" s="81"/>
      <c r="F50" s="186"/>
      <c r="H50" s="272"/>
      <c r="L50" s="84"/>
    </row>
    <row r="51" spans="1:15" ht="13.5" thickBot="1" x14ac:dyDescent="0.25">
      <c r="B51" s="12"/>
      <c r="C51" s="209"/>
      <c r="D51" s="81"/>
      <c r="F51" s="186"/>
      <c r="H51" s="272"/>
    </row>
    <row r="52" spans="1:15" ht="19.5" hidden="1" thickBot="1" x14ac:dyDescent="0.35">
      <c r="A52" s="460">
        <f>+A33*A48</f>
        <v>2614729.3200000003</v>
      </c>
      <c r="B52" s="210" t="s">
        <v>251</v>
      </c>
      <c r="C52" s="211"/>
      <c r="D52" s="461" t="s">
        <v>496</v>
      </c>
      <c r="F52" s="295"/>
      <c r="H52" s="273">
        <f>+A31*A47</f>
        <v>2960440.4133333336</v>
      </c>
      <c r="J52" s="359" t="s">
        <v>496</v>
      </c>
    </row>
    <row r="53" spans="1:15" ht="19.5" hidden="1" thickBot="1" x14ac:dyDescent="0.35">
      <c r="A53" s="364">
        <f>+A34*A49</f>
        <v>2763185.1</v>
      </c>
      <c r="B53" s="210" t="s">
        <v>251</v>
      </c>
      <c r="C53" s="211"/>
      <c r="D53" s="461" t="s">
        <v>550</v>
      </c>
      <c r="F53" s="295"/>
      <c r="H53" s="273">
        <f>+A32*A48</f>
        <v>2830069.69</v>
      </c>
      <c r="J53" s="359" t="s">
        <v>496</v>
      </c>
    </row>
    <row r="54" spans="1:15" ht="19.5" thickBot="1" x14ac:dyDescent="0.35">
      <c r="A54" s="487"/>
      <c r="B54" s="488"/>
      <c r="C54" s="489"/>
      <c r="D54" s="461"/>
      <c r="F54" s="295"/>
      <c r="H54" s="295"/>
      <c r="I54" s="473"/>
      <c r="J54" s="3"/>
      <c r="O54" s="436"/>
    </row>
    <row r="55" spans="1:15" ht="19.5" thickBot="1" x14ac:dyDescent="0.35">
      <c r="A55" s="364">
        <f>+A35*A50</f>
        <v>2971658.32</v>
      </c>
      <c r="B55" s="210" t="s">
        <v>251</v>
      </c>
      <c r="C55" s="211"/>
      <c r="D55" s="461" t="s">
        <v>1271</v>
      </c>
      <c r="F55" s="295"/>
      <c r="H55" s="273" t="e">
        <f>+A44*#REF!</f>
        <v>#REF!</v>
      </c>
      <c r="J55" s="359" t="s">
        <v>496</v>
      </c>
    </row>
    <row r="56" spans="1:15" ht="19.5" thickBot="1" x14ac:dyDescent="0.35">
      <c r="A56" s="459" t="s">
        <v>1305</v>
      </c>
      <c r="B56" s="476" t="s">
        <v>635</v>
      </c>
      <c r="C56" s="212"/>
      <c r="D56" s="213"/>
      <c r="J56" s="364" t="e">
        <f>+A45*#REF!</f>
        <v>#REF!</v>
      </c>
      <c r="K56" s="456"/>
      <c r="L56" s="457"/>
      <c r="O56" s="458"/>
    </row>
    <row r="57" spans="1:15" ht="16.5" thickBot="1" x14ac:dyDescent="0.3">
      <c r="A57" s="214"/>
      <c r="C57" s="215">
        <v>931476</v>
      </c>
      <c r="D57" s="271" t="s">
        <v>634</v>
      </c>
      <c r="J57"/>
    </row>
    <row r="58" spans="1:15" ht="13.5" thickBot="1" x14ac:dyDescent="0.25">
      <c r="A58" s="214"/>
      <c r="C58" s="217"/>
      <c r="D58" s="216"/>
      <c r="J58" s="84" t="e">
        <f>+J56-#REF!</f>
        <v>#REF!</v>
      </c>
    </row>
    <row r="59" spans="1:15" ht="16.5" thickBot="1" x14ac:dyDescent="0.3">
      <c r="A59" s="218" t="s">
        <v>252</v>
      </c>
      <c r="B59" s="219" t="s">
        <v>256</v>
      </c>
      <c r="C59" s="215">
        <f>+C35*1677.42</f>
        <v>524367.0834</v>
      </c>
      <c r="D59" s="220" t="s">
        <v>1415</v>
      </c>
    </row>
    <row r="60" spans="1:15" ht="13.5" thickBot="1" x14ac:dyDescent="0.25">
      <c r="A60" s="214"/>
      <c r="C60" s="217"/>
      <c r="D60" s="216"/>
    </row>
    <row r="61" spans="1:15" ht="16.5" thickBot="1" x14ac:dyDescent="0.3">
      <c r="A61" s="218" t="s">
        <v>254</v>
      </c>
      <c r="B61" s="219" t="s">
        <v>257</v>
      </c>
      <c r="C61" s="224">
        <f>A55-C59-C57</f>
        <v>1515815.2365999999</v>
      </c>
      <c r="D61" s="225" t="s">
        <v>253</v>
      </c>
    </row>
    <row r="62" spans="1:15" ht="16.5" thickBot="1" x14ac:dyDescent="0.3">
      <c r="A62" s="221"/>
      <c r="B62" s="222"/>
      <c r="C62" s="223"/>
      <c r="D62" s="271"/>
    </row>
    <row r="63" spans="1:15" ht="18.75" thickBot="1" x14ac:dyDescent="0.3">
      <c r="A63" s="221"/>
      <c r="B63" s="222"/>
      <c r="C63" s="226">
        <f>SUM(C57:C62)</f>
        <v>2971658.32</v>
      </c>
      <c r="D63" s="227" t="s">
        <v>255</v>
      </c>
      <c r="L63" s="102"/>
    </row>
    <row r="64" spans="1:15" ht="15.75" x14ac:dyDescent="0.25">
      <c r="A64" s="221"/>
      <c r="B64" s="222"/>
      <c r="C64" s="223">
        <f>+C63-A55</f>
        <v>0</v>
      </c>
      <c r="D64" s="271"/>
    </row>
    <row r="65" spans="1:4" ht="13.5" thickBot="1" x14ac:dyDescent="0.25">
      <c r="A65" s="228"/>
      <c r="B65" s="229"/>
      <c r="C65" s="230"/>
      <c r="D65" s="231"/>
    </row>
  </sheetData>
  <mergeCells count="1">
    <mergeCell ref="A5:B5"/>
  </mergeCells>
  <printOptions headings="1"/>
  <pageMargins left="0.71" right="0.18" top="0.75" bottom="0.75" header="0.3" footer="0.3"/>
  <pageSetup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G26"/>
  <sheetViews>
    <sheetView workbookViewId="0">
      <selection activeCell="C3" sqref="C3"/>
    </sheetView>
  </sheetViews>
  <sheetFormatPr defaultRowHeight="12.75" x14ac:dyDescent="0.2"/>
  <cols>
    <col min="1" max="1" width="22.7109375" customWidth="1"/>
    <col min="2" max="2" width="12.85546875" style="122" bestFit="1" customWidth="1"/>
    <col min="3" max="3" width="9.140625" style="327" customWidth="1"/>
    <col min="4" max="4" width="1.7109375" customWidth="1"/>
    <col min="5" max="5" width="11.28515625" style="5" bestFit="1" customWidth="1"/>
    <col min="6" max="6" width="9.140625" style="2" customWidth="1"/>
  </cols>
  <sheetData>
    <row r="1" spans="1:7" ht="18" x14ac:dyDescent="0.25">
      <c r="A1" s="17" t="s">
        <v>448</v>
      </c>
      <c r="G1" s="338"/>
    </row>
    <row r="2" spans="1:7" s="5" customFormat="1" x14ac:dyDescent="0.2">
      <c r="A2" s="5" t="s">
        <v>449</v>
      </c>
      <c r="B2" s="347" t="e">
        <f>+'General Revenue'!#REF!</f>
        <v>#REF!</v>
      </c>
      <c r="C2" s="5" t="s">
        <v>473</v>
      </c>
      <c r="F2" s="3"/>
    </row>
    <row r="3" spans="1:7" s="5" customFormat="1" ht="13.5" thickBot="1" x14ac:dyDescent="0.25">
      <c r="A3" s="5" t="s">
        <v>607</v>
      </c>
      <c r="B3" s="348" t="e">
        <f>+'General Revenue'!#REF!</f>
        <v>#REF!</v>
      </c>
      <c r="C3" s="5" t="s">
        <v>474</v>
      </c>
      <c r="F3" s="3"/>
    </row>
    <row r="4" spans="1:7" ht="13.5" thickBot="1" x14ac:dyDescent="0.25">
      <c r="B4" s="328" t="e">
        <f>SUM(B2:B3)</f>
        <v>#REF!</v>
      </c>
    </row>
    <row r="5" spans="1:7" ht="13.5" thickBot="1" x14ac:dyDescent="0.25"/>
    <row r="6" spans="1:7" x14ac:dyDescent="0.2">
      <c r="B6" s="3" t="s">
        <v>437</v>
      </c>
      <c r="E6" s="329" t="s">
        <v>467</v>
      </c>
    </row>
    <row r="7" spans="1:7" ht="13.5" thickBot="1" x14ac:dyDescent="0.25">
      <c r="A7" s="193" t="s">
        <v>441</v>
      </c>
      <c r="B7" s="14" t="s">
        <v>97</v>
      </c>
      <c r="E7" s="330" t="s">
        <v>234</v>
      </c>
      <c r="F7" s="14" t="s">
        <v>1</v>
      </c>
    </row>
    <row r="8" spans="1:7" x14ac:dyDescent="0.2">
      <c r="A8" s="9" t="s">
        <v>216</v>
      </c>
      <c r="B8" s="122" t="e">
        <f>+'General Expenses'!#REF!+'General Expenses'!#REF!+'General Expenses'!#REF!+'General Expenses'!#REF!+'General Expenses'!#REF!+'General Expenses'!#REF!</f>
        <v>#REF!</v>
      </c>
      <c r="C8" s="327" t="e">
        <f t="shared" ref="C8:C20" si="0">+B8/$B$22</f>
        <v>#REF!</v>
      </c>
      <c r="E8" s="111" t="e">
        <f>+C8*$B$4</f>
        <v>#REF!</v>
      </c>
      <c r="F8" s="2">
        <v>10153</v>
      </c>
    </row>
    <row r="9" spans="1:7" x14ac:dyDescent="0.2">
      <c r="A9" s="9" t="s">
        <v>442</v>
      </c>
      <c r="B9" s="122" t="e">
        <f>+'General Expenses'!#REF!+'General Expenses'!#REF!+'General Expenses'!#REF!+'General Expenses'!#REF!</f>
        <v>#REF!</v>
      </c>
      <c r="C9" s="327" t="e">
        <f t="shared" si="0"/>
        <v>#REF!</v>
      </c>
      <c r="E9" s="111" t="e">
        <f t="shared" ref="E9:E20" si="1">+C9*$B$4</f>
        <v>#REF!</v>
      </c>
      <c r="F9" s="2">
        <v>10227</v>
      </c>
    </row>
    <row r="10" spans="1:7" x14ac:dyDescent="0.2">
      <c r="A10" s="9" t="s">
        <v>443</v>
      </c>
      <c r="B10" s="122" t="e">
        <f>+'General Expenses'!#REF!+'General Expenses'!#REF!+'General Expenses'!#REF!+'General Expenses'!#REF!+'General Expenses'!#REF!</f>
        <v>#REF!</v>
      </c>
      <c r="C10" s="327" t="e">
        <f t="shared" si="0"/>
        <v>#REF!</v>
      </c>
      <c r="E10" s="111" t="e">
        <f t="shared" si="1"/>
        <v>#REF!</v>
      </c>
      <c r="F10" s="2">
        <v>10289</v>
      </c>
    </row>
    <row r="11" spans="1:7" x14ac:dyDescent="0.2">
      <c r="A11" s="9" t="s">
        <v>450</v>
      </c>
      <c r="B11" s="122" t="e">
        <f>+'General Expenses'!#REF!+'General Expenses'!#REF!+'General Expenses'!#REF!+'General Expenses'!#REF!+'General Expenses'!#REF!+'General Expenses'!#REF!</f>
        <v>#REF!</v>
      </c>
      <c r="C11" s="327" t="e">
        <f t="shared" si="0"/>
        <v>#REF!</v>
      </c>
      <c r="E11" s="111" t="e">
        <f t="shared" si="1"/>
        <v>#REF!</v>
      </c>
      <c r="F11" s="2">
        <v>10469</v>
      </c>
    </row>
    <row r="12" spans="1:7" x14ac:dyDescent="0.2">
      <c r="A12" s="9" t="s">
        <v>590</v>
      </c>
      <c r="B12" s="122" t="e">
        <f>+'General Expenses'!#REF!+'General Expenses'!#REF!+'General Expenses'!#REF!+'General Expenses'!#REF!+'General Expenses'!#REF!</f>
        <v>#REF!</v>
      </c>
      <c r="C12" s="327" t="e">
        <f t="shared" si="0"/>
        <v>#REF!</v>
      </c>
      <c r="E12" s="111" t="e">
        <f>+C12*$B$4</f>
        <v>#REF!</v>
      </c>
      <c r="F12" s="2">
        <v>10511</v>
      </c>
    </row>
    <row r="13" spans="1:7" x14ac:dyDescent="0.2">
      <c r="A13" s="9" t="s">
        <v>451</v>
      </c>
      <c r="B13" s="122" t="e">
        <f>+'General Expenses'!#REF!</f>
        <v>#REF!</v>
      </c>
      <c r="C13" s="327" t="e">
        <f t="shared" si="0"/>
        <v>#REF!</v>
      </c>
      <c r="E13" s="111" t="e">
        <f t="shared" si="1"/>
        <v>#REF!</v>
      </c>
      <c r="F13" s="2">
        <v>10583</v>
      </c>
    </row>
    <row r="14" spans="1:7" x14ac:dyDescent="0.2">
      <c r="A14" s="9" t="s">
        <v>117</v>
      </c>
      <c r="B14" s="122" t="e">
        <f>+'General Expenses'!#REF!+'General Expenses'!#REF!</f>
        <v>#REF!</v>
      </c>
      <c r="C14" s="327" t="e">
        <f t="shared" si="0"/>
        <v>#REF!</v>
      </c>
      <c r="E14" s="111" t="e">
        <f>+C14*$B$4</f>
        <v>#REF!</v>
      </c>
      <c r="F14" s="2">
        <v>10687</v>
      </c>
    </row>
    <row r="15" spans="1:7" x14ac:dyDescent="0.2">
      <c r="A15" s="9" t="s">
        <v>444</v>
      </c>
      <c r="B15" s="122" t="e">
        <f>+'General Expenses'!#REF!+'General Expenses'!#REF!+'General Expenses'!#REF!+'General Expenses'!#REF!+'General Expenses'!#REF!</f>
        <v>#REF!</v>
      </c>
      <c r="C15" s="327" t="e">
        <f t="shared" si="0"/>
        <v>#REF!</v>
      </c>
      <c r="E15" s="111" t="e">
        <f t="shared" si="1"/>
        <v>#REF!</v>
      </c>
      <c r="F15" s="2">
        <v>10735</v>
      </c>
    </row>
    <row r="16" spans="1:7" x14ac:dyDescent="0.2">
      <c r="A16" s="9" t="s">
        <v>446</v>
      </c>
      <c r="B16" s="122" t="e">
        <f>+'General Expenses'!#REF!+'General Expenses'!#REF!+'General Expenses'!#REF!+'General Expenses'!#REF!+'General Expenses'!#REF!</f>
        <v>#REF!</v>
      </c>
      <c r="C16" s="327" t="e">
        <f t="shared" si="0"/>
        <v>#REF!</v>
      </c>
      <c r="E16" s="111" t="e">
        <f t="shared" si="1"/>
        <v>#REF!</v>
      </c>
      <c r="F16" s="2">
        <v>10821</v>
      </c>
    </row>
    <row r="17" spans="1:6" x14ac:dyDescent="0.2">
      <c r="A17" s="9" t="s">
        <v>445</v>
      </c>
      <c r="B17" s="122" t="e">
        <f>+'General Expenses'!#REF!+'General Expenses'!#REF!+'General Expenses'!#REF!+'General Expenses'!#REF!+'General Expenses'!#REF!+'General Expenses'!#REF!+'General Expenses'!#REF!+'General Expenses'!#REF!</f>
        <v>#REF!</v>
      </c>
      <c r="C17" s="327" t="e">
        <f t="shared" si="0"/>
        <v>#REF!</v>
      </c>
      <c r="E17" s="111" t="e">
        <f t="shared" si="1"/>
        <v>#REF!</v>
      </c>
      <c r="F17" s="2">
        <v>10822</v>
      </c>
    </row>
    <row r="18" spans="1:6" x14ac:dyDescent="0.2">
      <c r="A18" s="9" t="s">
        <v>452</v>
      </c>
      <c r="B18" s="122" t="e">
        <f>+'General Expenses'!#REF!+'General Expenses'!#REF!+'General Expenses'!#REF!</f>
        <v>#REF!</v>
      </c>
      <c r="C18" s="327" t="e">
        <f t="shared" si="0"/>
        <v>#REF!</v>
      </c>
      <c r="E18" s="111" t="e">
        <f t="shared" si="1"/>
        <v>#REF!</v>
      </c>
      <c r="F18" s="2">
        <v>10847</v>
      </c>
    </row>
    <row r="19" spans="1:6" x14ac:dyDescent="0.2">
      <c r="A19" s="9" t="s">
        <v>417</v>
      </c>
      <c r="B19" s="122" t="e">
        <f>+'General Expenses'!#REF!+'General Expenses'!#REF!+'General Expenses'!#REF!+'General Expenses'!#REF!+'General Expenses'!#REF!+'General Expenses'!#REF!+'General Expenses'!#REF!</f>
        <v>#REF!</v>
      </c>
      <c r="C19" s="327" t="e">
        <f t="shared" si="0"/>
        <v>#REF!</v>
      </c>
      <c r="E19" s="111" t="e">
        <f t="shared" si="1"/>
        <v>#REF!</v>
      </c>
      <c r="F19" s="2">
        <v>10917</v>
      </c>
    </row>
    <row r="20" spans="1:6" x14ac:dyDescent="0.2">
      <c r="A20" s="9" t="s">
        <v>447</v>
      </c>
      <c r="B20" s="122" t="e">
        <f>+'General Expenses'!#REF!</f>
        <v>#REF!</v>
      </c>
      <c r="C20" s="327" t="e">
        <f t="shared" si="0"/>
        <v>#REF!</v>
      </c>
      <c r="E20" s="111" t="e">
        <f t="shared" si="1"/>
        <v>#REF!</v>
      </c>
      <c r="F20" s="2">
        <v>10959</v>
      </c>
    </row>
    <row r="21" spans="1:6" ht="13.5" thickBot="1" x14ac:dyDescent="0.25"/>
    <row r="22" spans="1:6" ht="13.5" thickBot="1" x14ac:dyDescent="0.25">
      <c r="B22" s="331" t="e">
        <f>SUM(B8:B21)</f>
        <v>#REF!</v>
      </c>
      <c r="C22" s="332" t="e">
        <f>SUM(C8:C21)</f>
        <v>#REF!</v>
      </c>
      <c r="E22" s="239" t="e">
        <f>SUM(E8:E21)</f>
        <v>#REF!</v>
      </c>
    </row>
    <row r="23" spans="1:6" x14ac:dyDescent="0.2">
      <c r="E23" s="111" t="e">
        <f>+E22-B2-B3</f>
        <v>#REF!</v>
      </c>
    </row>
    <row r="25" spans="1:6" x14ac:dyDescent="0.2">
      <c r="E25" s="122"/>
      <c r="F25" s="82"/>
    </row>
    <row r="26" spans="1:6" x14ac:dyDescent="0.2">
      <c r="E26"/>
    </row>
  </sheetData>
  <printOptions headings="1" gridLine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15BFD-ECAA-43BD-AC90-8ABD6C3B5C4A}">
  <sheetPr>
    <pageSetUpPr fitToPage="1"/>
  </sheetPr>
  <dimension ref="A1:R40"/>
  <sheetViews>
    <sheetView zoomScale="125" zoomScaleNormal="125" workbookViewId="0">
      <pane xSplit="2" ySplit="7" topLeftCell="C20" activePane="bottomRight" state="frozen"/>
      <selection activeCell="Q24" sqref="Q24"/>
      <selection pane="topRight" activeCell="Q24" sqref="Q24"/>
      <selection pane="bottomLeft" activeCell="Q24" sqref="Q24"/>
      <selection pane="bottomRight" activeCell="O40" sqref="O40"/>
    </sheetView>
  </sheetViews>
  <sheetFormatPr defaultColWidth="9.140625" defaultRowHeight="12.75" x14ac:dyDescent="0.2"/>
  <cols>
    <col min="1" max="1" width="4.140625" style="645" bestFit="1" customWidth="1"/>
    <col min="2" max="2" width="27.85546875" style="5" bestFit="1" customWidth="1"/>
    <col min="3" max="3" width="10.5703125" style="646" customWidth="1"/>
    <col min="4" max="4" width="11.85546875" style="84" bestFit="1" customWidth="1"/>
    <col min="5" max="6" width="11" style="84" bestFit="1" customWidth="1"/>
    <col min="7" max="8" width="12.140625" style="84" customWidth="1"/>
    <col min="9" max="9" width="10" style="84" customWidth="1"/>
    <col min="10" max="14" width="11" style="84" bestFit="1" customWidth="1"/>
    <col min="15" max="15" width="14.5703125" style="85" bestFit="1" customWidth="1"/>
    <col min="16" max="16" width="13.28515625" style="85" hidden="1" customWidth="1"/>
    <col min="17" max="17" width="5" style="645" bestFit="1" customWidth="1"/>
    <col min="18" max="16384" width="9.140625" style="645"/>
  </cols>
  <sheetData>
    <row r="1" spans="1:17" x14ac:dyDescent="0.2">
      <c r="B1" s="83">
        <v>45175</v>
      </c>
      <c r="P1" s="86"/>
    </row>
    <row r="2" spans="1:17" s="87" customFormat="1" ht="37.5" x14ac:dyDescent="0.5">
      <c r="B2" s="949" t="s">
        <v>1324</v>
      </c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1"/>
    </row>
    <row r="3" spans="1:17" ht="18.75" x14ac:dyDescent="0.3">
      <c r="B3" s="312"/>
      <c r="C3" s="88"/>
      <c r="D3" s="313"/>
      <c r="E3" s="75"/>
      <c r="I3" s="75"/>
      <c r="J3" s="75"/>
      <c r="K3" s="75"/>
      <c r="L3" s="75"/>
      <c r="M3" s="75"/>
      <c r="N3" s="75"/>
      <c r="O3" s="89"/>
      <c r="P3" s="89"/>
    </row>
    <row r="4" spans="1:17" ht="18" x14ac:dyDescent="0.25">
      <c r="B4" s="75"/>
      <c r="C4" s="75"/>
      <c r="D4" s="90" t="s">
        <v>180</v>
      </c>
      <c r="E4" s="90" t="s">
        <v>113</v>
      </c>
      <c r="F4" s="90" t="s">
        <v>181</v>
      </c>
      <c r="G4" s="90" t="s">
        <v>1329</v>
      </c>
      <c r="H4" s="90" t="s">
        <v>1331</v>
      </c>
      <c r="I4" s="90" t="s">
        <v>115</v>
      </c>
      <c r="J4" s="90" t="s">
        <v>116</v>
      </c>
      <c r="K4" s="90" t="s">
        <v>183</v>
      </c>
      <c r="L4" s="90" t="s">
        <v>183</v>
      </c>
      <c r="M4" s="90" t="s">
        <v>184</v>
      </c>
      <c r="N4" s="90" t="s">
        <v>574</v>
      </c>
      <c r="O4" s="89"/>
      <c r="P4" s="89"/>
    </row>
    <row r="5" spans="1:17" s="91" customFormat="1" ht="11.25" x14ac:dyDescent="0.2">
      <c r="B5" s="92" t="s">
        <v>185</v>
      </c>
      <c r="C5" s="92"/>
      <c r="D5" s="90" t="s">
        <v>186</v>
      </c>
      <c r="E5" s="90" t="s">
        <v>186</v>
      </c>
      <c r="F5" s="90" t="s">
        <v>186</v>
      </c>
      <c r="G5" s="90" t="s">
        <v>186</v>
      </c>
      <c r="H5" s="90" t="s">
        <v>186</v>
      </c>
      <c r="I5" s="90" t="s">
        <v>186</v>
      </c>
      <c r="J5" s="90" t="s">
        <v>186</v>
      </c>
      <c r="K5" s="90" t="s">
        <v>186</v>
      </c>
      <c r="L5" s="90" t="s">
        <v>573</v>
      </c>
      <c r="M5" s="90" t="s">
        <v>188</v>
      </c>
      <c r="N5" s="90" t="s">
        <v>575</v>
      </c>
      <c r="O5" s="93"/>
      <c r="P5" s="93"/>
    </row>
    <row r="6" spans="1:17" s="646" customFormat="1" x14ac:dyDescent="0.2">
      <c r="D6" s="94">
        <v>111</v>
      </c>
      <c r="E6" s="94">
        <v>112</v>
      </c>
      <c r="F6" s="94">
        <v>113</v>
      </c>
      <c r="G6" s="94">
        <v>118</v>
      </c>
      <c r="H6" s="94">
        <v>122</v>
      </c>
      <c r="I6" s="94">
        <v>124</v>
      </c>
      <c r="J6" s="94">
        <v>125</v>
      </c>
      <c r="K6" s="94">
        <v>127</v>
      </c>
      <c r="L6" s="94">
        <v>127</v>
      </c>
      <c r="M6" s="94">
        <v>212</v>
      </c>
      <c r="N6" s="94">
        <v>293</v>
      </c>
      <c r="O6" s="95" t="s">
        <v>189</v>
      </c>
      <c r="P6" s="95" t="s">
        <v>190</v>
      </c>
    </row>
    <row r="7" spans="1:17" s="5" customFormat="1" ht="13.5" thickBot="1" x14ac:dyDescent="0.25">
      <c r="B7" s="96" t="s">
        <v>191</v>
      </c>
      <c r="C7" s="97" t="s">
        <v>1325</v>
      </c>
      <c r="D7" s="653" t="s">
        <v>1326</v>
      </c>
      <c r="E7" s="653" t="s">
        <v>1327</v>
      </c>
      <c r="F7" s="653" t="s">
        <v>1328</v>
      </c>
      <c r="G7" s="653" t="s">
        <v>1330</v>
      </c>
      <c r="H7" s="653" t="s">
        <v>1332</v>
      </c>
      <c r="I7" s="653" t="s">
        <v>1333</v>
      </c>
      <c r="J7" s="653" t="s">
        <v>1334</v>
      </c>
      <c r="K7" s="653" t="s">
        <v>1335</v>
      </c>
      <c r="L7" s="653" t="s">
        <v>1336</v>
      </c>
      <c r="M7" s="653" t="s">
        <v>1337</v>
      </c>
      <c r="N7" s="653" t="s">
        <v>1338</v>
      </c>
      <c r="O7" s="99" t="s">
        <v>146</v>
      </c>
      <c r="P7" s="99" t="s">
        <v>146</v>
      </c>
    </row>
    <row r="8" spans="1:17" x14ac:dyDescent="0.2">
      <c r="A8" s="645">
        <v>1</v>
      </c>
      <c r="B8" s="80" t="s">
        <v>766</v>
      </c>
      <c r="C8" s="535">
        <v>1</v>
      </c>
      <c r="D8" s="101"/>
      <c r="E8" s="102"/>
      <c r="F8" s="102"/>
      <c r="G8" s="104"/>
      <c r="H8" s="104"/>
      <c r="I8" s="103"/>
      <c r="J8" s="102">
        <f>+O8</f>
        <v>37031</v>
      </c>
      <c r="K8" s="102"/>
      <c r="L8" s="102"/>
      <c r="M8" s="102"/>
      <c r="N8" s="102"/>
      <c r="O8" s="85">
        <v>37031</v>
      </c>
      <c r="P8" s="85">
        <v>36382</v>
      </c>
      <c r="Q8" s="84">
        <f>SUM(D8:N8)-O8</f>
        <v>0</v>
      </c>
    </row>
    <row r="9" spans="1:17" x14ac:dyDescent="0.2">
      <c r="A9" s="645">
        <f>+A8+1</f>
        <v>2</v>
      </c>
      <c r="B9" s="80" t="s">
        <v>767</v>
      </c>
      <c r="C9" s="535" t="s">
        <v>1350</v>
      </c>
      <c r="D9" s="101">
        <f>+O9*20%</f>
        <v>10664.400000000001</v>
      </c>
      <c r="E9" s="102">
        <f>+O9*40%</f>
        <v>21328.800000000003</v>
      </c>
      <c r="F9" s="102">
        <f>+O9*40%</f>
        <v>21328.800000000003</v>
      </c>
      <c r="G9" s="104"/>
      <c r="H9" s="104"/>
      <c r="I9" s="103"/>
      <c r="J9" s="102"/>
      <c r="K9" s="102"/>
      <c r="L9" s="102"/>
      <c r="M9" s="102"/>
      <c r="N9" s="102"/>
      <c r="O9" s="85">
        <v>53322</v>
      </c>
      <c r="P9" s="85">
        <v>36382</v>
      </c>
      <c r="Q9" s="84"/>
    </row>
    <row r="10" spans="1:17" x14ac:dyDescent="0.2">
      <c r="A10" s="645">
        <f>+A9+1</f>
        <v>3</v>
      </c>
      <c r="B10" s="80" t="s">
        <v>771</v>
      </c>
      <c r="C10" s="577" t="s">
        <v>1340</v>
      </c>
      <c r="D10" s="576"/>
      <c r="E10" s="102">
        <f>+O10*67%</f>
        <v>41310.86</v>
      </c>
      <c r="F10" s="102">
        <f>+O10*33%</f>
        <v>20347.14</v>
      </c>
      <c r="G10" s="104"/>
      <c r="H10" s="104"/>
      <c r="I10" s="103"/>
      <c r="J10" s="102"/>
      <c r="K10" s="102"/>
      <c r="L10" s="102"/>
      <c r="M10" s="102"/>
      <c r="N10" s="102"/>
      <c r="O10" s="85">
        <v>61658</v>
      </c>
      <c r="P10" s="85">
        <v>36382</v>
      </c>
      <c r="Q10" s="84">
        <f>SUM(D10:N10)-O10</f>
        <v>0</v>
      </c>
    </row>
    <row r="11" spans="1:17" x14ac:dyDescent="0.2">
      <c r="A11" s="645">
        <f t="shared" ref="A11:A30" si="0">+A10+1</f>
        <v>4</v>
      </c>
      <c r="B11" s="80" t="s">
        <v>772</v>
      </c>
      <c r="C11" s="535">
        <v>1</v>
      </c>
      <c r="D11" s="101"/>
      <c r="E11" s="102"/>
      <c r="F11" s="102">
        <f>+O11*100%</f>
        <v>42954</v>
      </c>
      <c r="G11" s="104"/>
      <c r="H11" s="104"/>
      <c r="I11" s="103"/>
      <c r="J11" s="102"/>
      <c r="K11" s="102"/>
      <c r="L11" s="102"/>
      <c r="M11" s="102"/>
      <c r="N11" s="102"/>
      <c r="O11" s="85">
        <v>42954</v>
      </c>
      <c r="P11" s="85">
        <v>36382</v>
      </c>
      <c r="Q11" s="84">
        <f>SUM(D11:N11)-O11</f>
        <v>0</v>
      </c>
    </row>
    <row r="12" spans="1:17" x14ac:dyDescent="0.2">
      <c r="A12" s="645">
        <f>+A11+1</f>
        <v>5</v>
      </c>
      <c r="B12" s="80" t="s">
        <v>1349</v>
      </c>
      <c r="C12" s="535">
        <v>1</v>
      </c>
      <c r="D12" s="101"/>
      <c r="E12" s="102"/>
      <c r="F12" s="102"/>
      <c r="G12" s="104">
        <f>+O12*100%</f>
        <v>33725</v>
      </c>
      <c r="H12" s="104"/>
      <c r="I12" s="103"/>
      <c r="J12" s="102"/>
      <c r="K12" s="102"/>
      <c r="L12" s="102"/>
      <c r="M12" s="102"/>
      <c r="N12" s="102"/>
      <c r="O12" s="85">
        <v>33725</v>
      </c>
      <c r="Q12" s="84"/>
    </row>
    <row r="13" spans="1:17" x14ac:dyDescent="0.2">
      <c r="A13" s="645">
        <f>+A12+1</f>
        <v>6</v>
      </c>
      <c r="B13" s="5" t="s">
        <v>773</v>
      </c>
      <c r="C13" s="535">
        <v>1</v>
      </c>
      <c r="D13" s="101">
        <f>+O13*100%</f>
        <v>37031</v>
      </c>
      <c r="E13" s="104"/>
      <c r="F13" s="104"/>
      <c r="G13" s="104"/>
      <c r="H13" s="104"/>
      <c r="I13" s="103"/>
      <c r="J13" s="102"/>
      <c r="K13" s="102"/>
      <c r="L13" s="102"/>
      <c r="M13" s="102"/>
      <c r="N13" s="102"/>
      <c r="O13" s="85">
        <v>37031</v>
      </c>
      <c r="P13" s="85">
        <v>35207</v>
      </c>
      <c r="Q13" s="84">
        <f>SUM(D13:N13)-O13</f>
        <v>0</v>
      </c>
    </row>
    <row r="14" spans="1:17" x14ac:dyDescent="0.2">
      <c r="A14" s="645">
        <f>+A13+1</f>
        <v>7</v>
      </c>
      <c r="B14" s="5" t="s">
        <v>1341</v>
      </c>
      <c r="C14" s="535" t="s">
        <v>779</v>
      </c>
      <c r="D14" s="101"/>
      <c r="E14" s="104">
        <f>+O14*40%</f>
        <v>14812.400000000001</v>
      </c>
      <c r="F14" s="104">
        <f>+O14*60%</f>
        <v>22218.6</v>
      </c>
      <c r="G14" s="104"/>
      <c r="H14" s="104"/>
      <c r="I14" s="103"/>
      <c r="J14" s="102"/>
      <c r="K14" s="102"/>
      <c r="L14" s="102"/>
      <c r="M14" s="102"/>
      <c r="N14" s="102"/>
      <c r="O14" s="85">
        <v>37031</v>
      </c>
      <c r="Q14" s="84"/>
    </row>
    <row r="15" spans="1:17" x14ac:dyDescent="0.2">
      <c r="A15" s="645">
        <f>+A14+1</f>
        <v>8</v>
      </c>
      <c r="B15" s="80" t="s">
        <v>463</v>
      </c>
      <c r="C15" s="535">
        <v>1</v>
      </c>
      <c r="D15" s="101"/>
      <c r="E15" s="104"/>
      <c r="F15" s="104">
        <f>+O15*100%</f>
        <v>49991</v>
      </c>
      <c r="G15" s="104"/>
      <c r="H15" s="104"/>
      <c r="I15" s="103"/>
      <c r="J15" s="102"/>
      <c r="K15" s="102"/>
      <c r="L15" s="102"/>
      <c r="M15" s="102"/>
      <c r="N15" s="102"/>
      <c r="O15" s="85">
        <v>49991</v>
      </c>
      <c r="P15" s="85">
        <v>39903</v>
      </c>
      <c r="Q15" s="84">
        <f>SUM(D15:N15)-O15</f>
        <v>0</v>
      </c>
    </row>
    <row r="16" spans="1:17" x14ac:dyDescent="0.2">
      <c r="A16" s="645">
        <f t="shared" si="0"/>
        <v>9</v>
      </c>
      <c r="B16" s="80" t="s">
        <v>202</v>
      </c>
      <c r="C16" s="535" t="s">
        <v>1342</v>
      </c>
      <c r="D16" s="415"/>
      <c r="E16" s="101"/>
      <c r="F16" s="101"/>
      <c r="G16" s="101"/>
      <c r="H16" s="101">
        <f>+O16*92%</f>
        <v>59958.240000000005</v>
      </c>
      <c r="I16" s="101">
        <f>+O16*8%</f>
        <v>5213.76</v>
      </c>
      <c r="J16" s="102"/>
      <c r="K16" s="102"/>
      <c r="L16" s="102"/>
      <c r="M16" s="102"/>
      <c r="N16" s="102"/>
      <c r="O16" s="85">
        <v>65172</v>
      </c>
      <c r="P16" s="85">
        <v>44597</v>
      </c>
      <c r="Q16" s="84">
        <f>SUM(D16:N16)-O16</f>
        <v>0</v>
      </c>
    </row>
    <row r="17" spans="1:17" x14ac:dyDescent="0.2">
      <c r="A17" s="645">
        <f>+A16+1</f>
        <v>10</v>
      </c>
      <c r="B17" s="80" t="s">
        <v>387</v>
      </c>
      <c r="C17" s="535">
        <v>1</v>
      </c>
      <c r="D17" s="101">
        <f>+O17*100%</f>
        <v>60519</v>
      </c>
      <c r="E17" s="101"/>
      <c r="F17" s="101"/>
      <c r="G17" s="101"/>
      <c r="H17" s="101"/>
      <c r="I17" s="103"/>
      <c r="J17" s="102"/>
      <c r="K17" s="102"/>
      <c r="L17" s="102"/>
      <c r="M17" s="102"/>
      <c r="N17" s="102"/>
      <c r="O17" s="85">
        <v>60519</v>
      </c>
      <c r="P17" s="85">
        <v>44597</v>
      </c>
      <c r="Q17" s="84">
        <f>SUM(D17:N17)-O17</f>
        <v>0</v>
      </c>
    </row>
    <row r="18" spans="1:17" x14ac:dyDescent="0.2">
      <c r="A18" s="645">
        <f>+A17+1</f>
        <v>11</v>
      </c>
      <c r="B18" s="80" t="s">
        <v>1343</v>
      </c>
      <c r="C18" s="535" t="s">
        <v>1344</v>
      </c>
      <c r="D18" s="101">
        <f>+O18*20%</f>
        <v>7406.2000000000007</v>
      </c>
      <c r="E18" s="101">
        <f>+O18*20%</f>
        <v>7406.2000000000007</v>
      </c>
      <c r="F18" s="101">
        <f>+O18*60%</f>
        <v>22218.6</v>
      </c>
      <c r="G18" s="101"/>
      <c r="H18" s="101"/>
      <c r="I18" s="103"/>
      <c r="J18" s="102"/>
      <c r="K18" s="102"/>
      <c r="L18" s="102"/>
      <c r="M18" s="102"/>
      <c r="N18" s="102"/>
      <c r="O18" s="85">
        <v>37031</v>
      </c>
      <c r="Q18" s="84"/>
    </row>
    <row r="19" spans="1:17" x14ac:dyDescent="0.2">
      <c r="A19" s="645">
        <f>+A18+1</f>
        <v>12</v>
      </c>
      <c r="B19" s="80" t="s">
        <v>203</v>
      </c>
      <c r="C19" s="535">
        <v>1</v>
      </c>
      <c r="D19" s="101">
        <f>+O19*100%</f>
        <v>5400</v>
      </c>
      <c r="E19" s="104"/>
      <c r="F19" s="104"/>
      <c r="G19" s="104"/>
      <c r="H19" s="104"/>
      <c r="I19" s="104"/>
      <c r="J19" s="102"/>
      <c r="K19" s="102"/>
      <c r="L19" s="102"/>
      <c r="M19" s="102"/>
      <c r="N19" s="102"/>
      <c r="O19" s="85">
        <v>5400</v>
      </c>
      <c r="P19" s="85">
        <v>33854</v>
      </c>
      <c r="Q19" s="84">
        <f t="shared" ref="Q19:Q27" si="1">SUM(D19:N19)-O19</f>
        <v>0</v>
      </c>
    </row>
    <row r="20" spans="1:17" x14ac:dyDescent="0.2">
      <c r="A20" s="645">
        <f t="shared" si="0"/>
        <v>13</v>
      </c>
      <c r="B20" s="80" t="s">
        <v>774</v>
      </c>
      <c r="C20" s="535">
        <v>1</v>
      </c>
      <c r="D20" s="101">
        <f>+O20*100%</f>
        <v>36437</v>
      </c>
      <c r="E20" s="104"/>
      <c r="F20" s="104"/>
      <c r="G20" s="104"/>
      <c r="H20" s="104"/>
      <c r="I20" s="103"/>
      <c r="J20" s="102"/>
      <c r="K20" s="102"/>
      <c r="L20" s="102"/>
      <c r="M20" s="102"/>
      <c r="N20" s="102"/>
      <c r="O20" s="85">
        <v>36437</v>
      </c>
      <c r="P20" s="85">
        <v>39000</v>
      </c>
      <c r="Q20" s="84">
        <f t="shared" si="1"/>
        <v>0</v>
      </c>
    </row>
    <row r="21" spans="1:17" x14ac:dyDescent="0.2">
      <c r="A21" s="645">
        <f t="shared" si="0"/>
        <v>14</v>
      </c>
      <c r="B21" s="80" t="s">
        <v>775</v>
      </c>
      <c r="C21" s="535">
        <v>1</v>
      </c>
      <c r="D21" s="101">
        <f>+O21</f>
        <v>42321</v>
      </c>
      <c r="E21" s="104"/>
      <c r="F21" s="104"/>
      <c r="G21" s="104"/>
      <c r="H21" s="104"/>
      <c r="I21" s="103"/>
      <c r="J21" s="102"/>
      <c r="K21" s="102"/>
      <c r="L21" s="102"/>
      <c r="M21" s="102"/>
      <c r="N21" s="102"/>
      <c r="O21" s="85">
        <v>42321</v>
      </c>
      <c r="P21" s="85">
        <v>33854</v>
      </c>
      <c r="Q21" s="84">
        <f t="shared" si="1"/>
        <v>0</v>
      </c>
    </row>
    <row r="22" spans="1:17" x14ac:dyDescent="0.2">
      <c r="A22" s="645">
        <f t="shared" si="0"/>
        <v>15</v>
      </c>
      <c r="B22" s="80" t="s">
        <v>1345</v>
      </c>
      <c r="C22" s="535">
        <v>0.67</v>
      </c>
      <c r="D22" s="101"/>
      <c r="E22" s="104"/>
      <c r="F22" s="104">
        <f>+O22*100%</f>
        <v>22043</v>
      </c>
      <c r="G22" s="104"/>
      <c r="H22" s="104"/>
      <c r="I22" s="103"/>
      <c r="J22" s="102"/>
      <c r="K22" s="102"/>
      <c r="L22" s="102"/>
      <c r="M22" s="102"/>
      <c r="N22" s="102"/>
      <c r="O22" s="85">
        <v>22043</v>
      </c>
      <c r="P22" s="85">
        <v>33854</v>
      </c>
      <c r="Q22" s="84">
        <f t="shared" si="1"/>
        <v>0</v>
      </c>
    </row>
    <row r="23" spans="1:17" x14ac:dyDescent="0.2">
      <c r="A23" s="645">
        <f t="shared" si="0"/>
        <v>16</v>
      </c>
      <c r="B23" s="80" t="s">
        <v>464</v>
      </c>
      <c r="C23" s="535" t="s">
        <v>785</v>
      </c>
      <c r="D23" s="101"/>
      <c r="E23" s="104">
        <f>+O23*80%</f>
        <v>39612.800000000003</v>
      </c>
      <c r="F23" s="104"/>
      <c r="G23" s="104"/>
      <c r="H23" s="104"/>
      <c r="I23" s="103">
        <f>+O23*20%</f>
        <v>9903.2000000000007</v>
      </c>
      <c r="J23" s="102"/>
      <c r="K23" s="102"/>
      <c r="L23" s="102"/>
      <c r="M23" s="102"/>
      <c r="N23" s="102"/>
      <c r="O23" s="85">
        <v>49516</v>
      </c>
      <c r="P23" s="85">
        <v>33854</v>
      </c>
      <c r="Q23" s="84">
        <f t="shared" si="1"/>
        <v>0</v>
      </c>
    </row>
    <row r="24" spans="1:17" x14ac:dyDescent="0.2">
      <c r="A24" s="645">
        <f t="shared" si="0"/>
        <v>17</v>
      </c>
      <c r="B24" s="80" t="s">
        <v>777</v>
      </c>
      <c r="C24" s="535">
        <v>1</v>
      </c>
      <c r="D24" s="101"/>
      <c r="E24" s="104"/>
      <c r="F24" s="104"/>
      <c r="G24" s="104"/>
      <c r="H24" s="104">
        <f>+O24*100%</f>
        <v>44014</v>
      </c>
      <c r="I24" s="103"/>
      <c r="J24" s="102"/>
      <c r="K24" s="102"/>
      <c r="L24" s="102"/>
      <c r="M24" s="102"/>
      <c r="N24" s="102"/>
      <c r="O24" s="85">
        <v>44014</v>
      </c>
      <c r="P24" s="85">
        <v>33854</v>
      </c>
      <c r="Q24" s="84">
        <f t="shared" si="1"/>
        <v>0</v>
      </c>
    </row>
    <row r="25" spans="1:17" x14ac:dyDescent="0.2">
      <c r="A25" s="645">
        <f>+A24+1</f>
        <v>18</v>
      </c>
      <c r="B25" s="80" t="s">
        <v>1339</v>
      </c>
      <c r="C25" s="535">
        <v>1</v>
      </c>
      <c r="D25" s="101"/>
      <c r="E25" s="104">
        <f>+O25*100%</f>
        <v>39992</v>
      </c>
      <c r="F25" s="104"/>
      <c r="G25" s="104"/>
      <c r="H25" s="104"/>
      <c r="I25" s="103"/>
      <c r="J25" s="102"/>
      <c r="K25" s="102"/>
      <c r="L25" s="102"/>
      <c r="M25" s="102"/>
      <c r="N25" s="102"/>
      <c r="O25" s="85">
        <v>39992</v>
      </c>
      <c r="P25" s="85">
        <v>37916</v>
      </c>
      <c r="Q25" s="84">
        <f t="shared" si="1"/>
        <v>0</v>
      </c>
    </row>
    <row r="26" spans="1:17" x14ac:dyDescent="0.2">
      <c r="A26" s="645">
        <f t="shared" si="0"/>
        <v>19</v>
      </c>
      <c r="B26" s="80" t="s">
        <v>204</v>
      </c>
      <c r="C26" s="535" t="s">
        <v>1346</v>
      </c>
      <c r="D26" s="101"/>
      <c r="E26" s="104">
        <f>+O26*83%</f>
        <v>59474.795400000003</v>
      </c>
      <c r="F26" s="104"/>
      <c r="G26" s="104"/>
      <c r="H26" s="104"/>
      <c r="I26" s="103">
        <f>+O26*17%</f>
        <v>12181.584600000002</v>
      </c>
      <c r="J26" s="102"/>
      <c r="K26" s="102"/>
      <c r="L26" s="102"/>
      <c r="M26" s="102"/>
      <c r="N26" s="102"/>
      <c r="O26" s="85">
        <v>71656.38</v>
      </c>
      <c r="P26" s="85">
        <v>37916</v>
      </c>
      <c r="Q26" s="84">
        <f t="shared" si="1"/>
        <v>0</v>
      </c>
    </row>
    <row r="27" spans="1:17" x14ac:dyDescent="0.2">
      <c r="A27" s="645">
        <f t="shared" si="0"/>
        <v>20</v>
      </c>
      <c r="B27" s="80" t="s">
        <v>205</v>
      </c>
      <c r="C27" s="535">
        <v>1</v>
      </c>
      <c r="D27" s="101"/>
      <c r="E27" s="415"/>
      <c r="F27" s="104">
        <f>+O27*100%</f>
        <v>63690</v>
      </c>
      <c r="G27" s="104"/>
      <c r="H27" s="104"/>
      <c r="I27" s="103"/>
      <c r="J27" s="102"/>
      <c r="K27" s="102"/>
      <c r="L27" s="102"/>
      <c r="M27" s="102"/>
      <c r="N27" s="102"/>
      <c r="O27" s="85">
        <v>63690</v>
      </c>
      <c r="P27" s="85">
        <v>49399</v>
      </c>
      <c r="Q27" s="84">
        <f t="shared" si="1"/>
        <v>0</v>
      </c>
    </row>
    <row r="28" spans="1:17" x14ac:dyDescent="0.2">
      <c r="A28" s="645">
        <f>+A27+1</f>
        <v>21</v>
      </c>
      <c r="B28" s="80" t="s">
        <v>1347</v>
      </c>
      <c r="C28" s="535">
        <v>1</v>
      </c>
      <c r="D28" s="101">
        <f>+O28*100%</f>
        <v>33063</v>
      </c>
      <c r="E28" s="415"/>
      <c r="F28" s="104"/>
      <c r="G28" s="104"/>
      <c r="H28" s="104"/>
      <c r="I28" s="103"/>
      <c r="J28" s="102"/>
      <c r="K28" s="102"/>
      <c r="L28" s="102"/>
      <c r="M28" s="102"/>
      <c r="N28" s="102"/>
      <c r="O28" s="85">
        <v>33063</v>
      </c>
      <c r="Q28" s="84"/>
    </row>
    <row r="29" spans="1:17" x14ac:dyDescent="0.2">
      <c r="A29" s="645">
        <f>+A28+1</f>
        <v>22</v>
      </c>
      <c r="B29" s="80" t="s">
        <v>783</v>
      </c>
      <c r="C29" s="535">
        <v>1</v>
      </c>
      <c r="D29" s="645"/>
      <c r="E29" s="104"/>
      <c r="F29" s="101"/>
      <c r="G29" s="104"/>
      <c r="H29" s="104">
        <f>+O29*100%</f>
        <v>12600</v>
      </c>
      <c r="I29" s="103"/>
      <c r="J29" s="102"/>
      <c r="K29" s="102"/>
      <c r="L29" s="102"/>
      <c r="M29" s="102"/>
      <c r="N29" s="102"/>
      <c r="O29" s="85">
        <v>12600</v>
      </c>
      <c r="P29" s="85">
        <v>37780</v>
      </c>
      <c r="Q29" s="84"/>
    </row>
    <row r="30" spans="1:17" x14ac:dyDescent="0.2">
      <c r="A30" s="645">
        <f t="shared" si="0"/>
        <v>23</v>
      </c>
      <c r="B30" s="80" t="s">
        <v>206</v>
      </c>
      <c r="C30" s="535">
        <v>1</v>
      </c>
      <c r="D30" s="654">
        <f>+O30*100%</f>
        <v>55705</v>
      </c>
      <c r="E30" s="104"/>
      <c r="F30" s="101"/>
      <c r="G30" s="104"/>
      <c r="H30" s="104"/>
      <c r="I30" s="103"/>
      <c r="J30" s="102"/>
      <c r="K30" s="102"/>
      <c r="L30" s="102"/>
      <c r="M30" s="102"/>
      <c r="N30" s="102"/>
      <c r="O30" s="85">
        <v>55705</v>
      </c>
      <c r="P30" s="85">
        <v>43423</v>
      </c>
      <c r="Q30" s="84">
        <f>SUM(D30:N30)-O30</f>
        <v>0</v>
      </c>
    </row>
    <row r="31" spans="1:17" ht="13.5" thickBot="1" x14ac:dyDescent="0.25">
      <c r="A31" s="645">
        <f>+A30+1</f>
        <v>24</v>
      </c>
      <c r="B31" s="80" t="s">
        <v>571</v>
      </c>
      <c r="C31" s="537" t="s">
        <v>1348</v>
      </c>
      <c r="D31" s="101"/>
      <c r="E31" s="104"/>
      <c r="F31" s="104"/>
      <c r="G31" s="104"/>
      <c r="H31" s="104"/>
      <c r="I31" s="103"/>
      <c r="J31" s="102"/>
      <c r="K31" s="102">
        <f>+O31*91.8%</f>
        <v>64216.238939999996</v>
      </c>
      <c r="L31" s="102">
        <f>+O31*8.24%</f>
        <v>5764.0719920000001</v>
      </c>
      <c r="M31" s="102"/>
      <c r="N31" s="102">
        <v>0</v>
      </c>
      <c r="O31" s="85">
        <v>69952.33</v>
      </c>
      <c r="P31" s="105">
        <v>46945</v>
      </c>
      <c r="Q31" s="84"/>
    </row>
    <row r="32" spans="1:17" s="109" customFormat="1" ht="13.5" thickBot="1" x14ac:dyDescent="0.25">
      <c r="A32" s="106"/>
      <c r="B32" s="107" t="s">
        <v>207</v>
      </c>
      <c r="C32" s="107"/>
      <c r="D32" s="318">
        <f t="shared" ref="D32:O32" si="2">SUM(D8:D31)</f>
        <v>288546.59999999998</v>
      </c>
      <c r="E32" s="318">
        <f t="shared" si="2"/>
        <v>223937.8554</v>
      </c>
      <c r="F32" s="318">
        <f t="shared" si="2"/>
        <v>264791.14</v>
      </c>
      <c r="G32" s="318">
        <f t="shared" si="2"/>
        <v>33725</v>
      </c>
      <c r="H32" s="318">
        <f t="shared" si="2"/>
        <v>116572.24</v>
      </c>
      <c r="I32" s="318">
        <f t="shared" si="2"/>
        <v>27298.544600000001</v>
      </c>
      <c r="J32" s="318">
        <f t="shared" si="2"/>
        <v>37031</v>
      </c>
      <c r="K32" s="318">
        <f t="shared" si="2"/>
        <v>64216.238939999996</v>
      </c>
      <c r="L32" s="318">
        <f t="shared" si="2"/>
        <v>5764.0719920000001</v>
      </c>
      <c r="M32" s="318">
        <f t="shared" si="2"/>
        <v>0</v>
      </c>
      <c r="N32" s="318">
        <f t="shared" si="2"/>
        <v>0</v>
      </c>
      <c r="O32" s="680">
        <f t="shared" si="2"/>
        <v>1061854.71</v>
      </c>
      <c r="P32" s="108">
        <f>SUM(P8:P30)</f>
        <v>724536</v>
      </c>
      <c r="Q32" s="84"/>
    </row>
    <row r="33" spans="1:18" s="5" customFormat="1" x14ac:dyDescent="0.2">
      <c r="B33" s="110"/>
      <c r="C33" s="10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367"/>
      <c r="P33" s="111"/>
    </row>
    <row r="34" spans="1:18" x14ac:dyDescent="0.2">
      <c r="A34" s="559"/>
      <c r="B34" s="560" t="s">
        <v>814</v>
      </c>
      <c r="C34" s="655">
        <v>0.3</v>
      </c>
      <c r="D34" s="562"/>
      <c r="E34" s="563"/>
      <c r="F34" s="564"/>
      <c r="G34" s="563"/>
      <c r="H34" s="563"/>
      <c r="I34" s="565"/>
      <c r="J34" s="566"/>
      <c r="K34" s="566"/>
      <c r="L34" s="566"/>
      <c r="M34" s="566"/>
      <c r="N34" s="566"/>
      <c r="O34" s="575">
        <f>+O32*30%</f>
        <v>318556.413</v>
      </c>
      <c r="P34" s="105"/>
      <c r="Q34" s="84"/>
    </row>
    <row r="35" spans="1:18" x14ac:dyDescent="0.2">
      <c r="B35" s="7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1:18" s="112" customFormat="1" ht="15" x14ac:dyDescent="0.2">
      <c r="B36" s="568" t="s">
        <v>155</v>
      </c>
      <c r="C36" s="569">
        <v>7.6499999999999999E-2</v>
      </c>
      <c r="D36" s="570"/>
      <c r="E36" s="570"/>
      <c r="F36" s="570"/>
      <c r="G36" s="570"/>
      <c r="H36" s="570"/>
      <c r="I36" s="570"/>
      <c r="J36" s="570"/>
      <c r="K36" s="570"/>
      <c r="L36" s="570"/>
      <c r="M36" s="570"/>
      <c r="N36" s="570"/>
      <c r="O36" s="681">
        <f>+O32*7.65%</f>
        <v>81231.885314999992</v>
      </c>
      <c r="P36" s="114"/>
      <c r="Q36" s="113"/>
      <c r="R36" s="113"/>
    </row>
    <row r="37" spans="1:18" s="115" customFormat="1" ht="15" x14ac:dyDescent="0.2">
      <c r="B37" s="113"/>
      <c r="C37" s="113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7"/>
      <c r="P37" s="117"/>
      <c r="Q37" s="118"/>
    </row>
    <row r="38" spans="1:18" x14ac:dyDescent="0.2">
      <c r="B38" s="572" t="s">
        <v>813</v>
      </c>
      <c r="C38" s="573"/>
      <c r="D38" s="574"/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5"/>
    </row>
    <row r="40" spans="1:18" x14ac:dyDescent="0.2">
      <c r="B40" s="572" t="s">
        <v>146</v>
      </c>
      <c r="C40" s="573"/>
      <c r="D40" s="574"/>
      <c r="E40" s="574"/>
      <c r="F40" s="574"/>
      <c r="G40" s="574"/>
      <c r="H40" s="574"/>
      <c r="I40" s="574"/>
      <c r="J40" s="574"/>
      <c r="K40" s="574"/>
      <c r="L40" s="574"/>
      <c r="M40" s="574"/>
      <c r="N40" s="574"/>
      <c r="O40" s="575">
        <f>SUM(O32+O34+O36+O38)</f>
        <v>1461643.008315</v>
      </c>
    </row>
  </sheetData>
  <mergeCells count="1">
    <mergeCell ref="B2:O2"/>
  </mergeCells>
  <printOptions headings="1" gridLines="1"/>
  <pageMargins left="0.49" right="0.13" top="0.61" bottom="0.14000000000000001" header="0.4" footer="0.22"/>
  <pageSetup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S42"/>
  <sheetViews>
    <sheetView zoomScale="125" zoomScaleNormal="125" workbookViewId="0">
      <pane xSplit="2" ySplit="7" topLeftCell="C17" activePane="bottomRight" state="frozen"/>
      <selection activeCell="Q24" sqref="Q24"/>
      <selection pane="topRight" activeCell="Q24" sqref="Q24"/>
      <selection pane="bottomLeft" activeCell="Q24" sqref="Q24"/>
      <selection pane="bottomRight" activeCell="P36" sqref="P36"/>
    </sheetView>
  </sheetViews>
  <sheetFormatPr defaultRowHeight="12.75" x14ac:dyDescent="0.2"/>
  <cols>
    <col min="1" max="1" width="3.28515625" bestFit="1" customWidth="1"/>
    <col min="2" max="2" width="27.85546875" style="5" bestFit="1" customWidth="1"/>
    <col min="3" max="3" width="10.5703125" style="3" customWidth="1"/>
    <col min="4" max="6" width="11" style="84" bestFit="1" customWidth="1"/>
    <col min="7" max="7" width="12.140625" style="84" customWidth="1"/>
    <col min="8" max="8" width="9" style="84" bestFit="1" customWidth="1"/>
    <col min="9" max="15" width="11" style="84" bestFit="1" customWidth="1"/>
    <col min="16" max="16" width="12.85546875" style="85" bestFit="1" customWidth="1"/>
    <col min="17" max="17" width="13.28515625" style="85" hidden="1" customWidth="1"/>
    <col min="18" max="18" width="5" bestFit="1" customWidth="1"/>
  </cols>
  <sheetData>
    <row r="1" spans="1:18" x14ac:dyDescent="0.2">
      <c r="B1" s="83">
        <v>44908</v>
      </c>
      <c r="Q1" s="86"/>
    </row>
    <row r="2" spans="1:18" s="87" customFormat="1" ht="37.5" x14ac:dyDescent="0.5">
      <c r="B2" s="949" t="s">
        <v>763</v>
      </c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1"/>
    </row>
    <row r="3" spans="1:18" ht="18.75" x14ac:dyDescent="0.3">
      <c r="B3" s="312"/>
      <c r="C3" s="88"/>
      <c r="D3" s="313"/>
      <c r="E3" s="75"/>
      <c r="H3" s="75"/>
      <c r="I3" s="75"/>
      <c r="J3" s="75"/>
      <c r="K3" s="75"/>
      <c r="L3" s="75"/>
      <c r="M3" s="75"/>
      <c r="N3" s="75"/>
      <c r="O3" s="75"/>
      <c r="P3" s="89"/>
      <c r="Q3" s="89"/>
    </row>
    <row r="4" spans="1:18" ht="18" x14ac:dyDescent="0.25">
      <c r="B4" s="75"/>
      <c r="C4" s="75"/>
      <c r="D4" s="90" t="s">
        <v>180</v>
      </c>
      <c r="E4" s="90" t="s">
        <v>113</v>
      </c>
      <c r="F4" s="90" t="s">
        <v>181</v>
      </c>
      <c r="G4" s="90" t="s">
        <v>764</v>
      </c>
      <c r="H4" s="90" t="s">
        <v>115</v>
      </c>
      <c r="I4" s="90" t="s">
        <v>769</v>
      </c>
      <c r="J4" s="90" t="s">
        <v>182</v>
      </c>
      <c r="K4" s="90" t="s">
        <v>116</v>
      </c>
      <c r="L4" s="90" t="s">
        <v>183</v>
      </c>
      <c r="M4" s="90" t="s">
        <v>183</v>
      </c>
      <c r="N4" s="90" t="s">
        <v>184</v>
      </c>
      <c r="O4" s="90" t="s">
        <v>574</v>
      </c>
      <c r="P4" s="89"/>
      <c r="Q4" s="89"/>
    </row>
    <row r="5" spans="1:18" s="91" customFormat="1" ht="11.25" x14ac:dyDescent="0.2">
      <c r="B5" s="92" t="s">
        <v>185</v>
      </c>
      <c r="C5" s="92"/>
      <c r="D5" s="90" t="s">
        <v>186</v>
      </c>
      <c r="E5" s="90" t="s">
        <v>186</v>
      </c>
      <c r="F5" s="90" t="s">
        <v>186</v>
      </c>
      <c r="G5" s="90" t="s">
        <v>186</v>
      </c>
      <c r="H5" s="90" t="s">
        <v>186</v>
      </c>
      <c r="I5" s="90" t="s">
        <v>186</v>
      </c>
      <c r="J5" s="90" t="s">
        <v>186</v>
      </c>
      <c r="K5" s="90" t="s">
        <v>186</v>
      </c>
      <c r="L5" s="90" t="s">
        <v>187</v>
      </c>
      <c r="M5" s="90" t="s">
        <v>573</v>
      </c>
      <c r="N5" s="90" t="s">
        <v>188</v>
      </c>
      <c r="O5" s="90" t="s">
        <v>575</v>
      </c>
      <c r="P5" s="93"/>
      <c r="Q5" s="93"/>
    </row>
    <row r="6" spans="1:18" s="3" customFormat="1" x14ac:dyDescent="0.2">
      <c r="D6" s="94">
        <v>111</v>
      </c>
      <c r="E6" s="94">
        <v>112</v>
      </c>
      <c r="F6" s="94">
        <v>113</v>
      </c>
      <c r="G6" s="94"/>
      <c r="H6" s="94"/>
      <c r="I6" s="94"/>
      <c r="J6" s="94">
        <v>122</v>
      </c>
      <c r="K6" s="94">
        <v>125</v>
      </c>
      <c r="L6" s="94">
        <v>127</v>
      </c>
      <c r="M6" s="94">
        <v>127</v>
      </c>
      <c r="N6" s="94">
        <v>212</v>
      </c>
      <c r="O6" s="94">
        <v>293</v>
      </c>
      <c r="P6" s="95" t="s">
        <v>189</v>
      </c>
      <c r="Q6" s="95" t="s">
        <v>190</v>
      </c>
    </row>
    <row r="7" spans="1:18" s="5" customFormat="1" ht="13.5" thickBot="1" x14ac:dyDescent="0.25">
      <c r="B7" s="96" t="s">
        <v>191</v>
      </c>
      <c r="C7" s="97" t="s">
        <v>192</v>
      </c>
      <c r="D7" s="98" t="s">
        <v>193</v>
      </c>
      <c r="E7" s="98" t="s">
        <v>194</v>
      </c>
      <c r="F7" s="98" t="s">
        <v>195</v>
      </c>
      <c r="G7" s="98" t="s">
        <v>765</v>
      </c>
      <c r="H7" s="98" t="s">
        <v>230</v>
      </c>
      <c r="I7" s="98"/>
      <c r="J7" s="98" t="s">
        <v>196</v>
      </c>
      <c r="K7" s="98" t="s">
        <v>197</v>
      </c>
      <c r="L7" s="98" t="s">
        <v>198</v>
      </c>
      <c r="M7" s="98" t="s">
        <v>572</v>
      </c>
      <c r="N7" s="98" t="s">
        <v>199</v>
      </c>
      <c r="O7" s="98" t="s">
        <v>576</v>
      </c>
      <c r="P7" s="99" t="s">
        <v>146</v>
      </c>
      <c r="Q7" s="99" t="s">
        <v>146</v>
      </c>
    </row>
    <row r="8" spans="1:18" s="5" customFormat="1" x14ac:dyDescent="0.2">
      <c r="A8" s="5">
        <v>1</v>
      </c>
      <c r="B8" s="5" t="s">
        <v>768</v>
      </c>
      <c r="C8" s="535">
        <v>1</v>
      </c>
      <c r="D8" s="407"/>
      <c r="E8" s="536"/>
      <c r="F8" s="407"/>
      <c r="G8" s="407"/>
      <c r="H8" s="407"/>
      <c r="I8" s="536">
        <f>+P8</f>
        <v>37128</v>
      </c>
      <c r="J8" s="407"/>
      <c r="K8" s="407"/>
      <c r="L8" s="407"/>
      <c r="M8" s="407"/>
      <c r="N8" s="407"/>
      <c r="O8" s="407"/>
      <c r="P8" s="534">
        <v>37128</v>
      </c>
      <c r="Q8" s="534"/>
    </row>
    <row r="9" spans="1:18" x14ac:dyDescent="0.2">
      <c r="A9">
        <v>2</v>
      </c>
      <c r="B9" s="80" t="s">
        <v>766</v>
      </c>
      <c r="C9" s="535">
        <v>1</v>
      </c>
      <c r="D9" s="101"/>
      <c r="E9" s="102"/>
      <c r="F9" s="102"/>
      <c r="G9" s="104"/>
      <c r="H9" s="103"/>
      <c r="I9" s="103"/>
      <c r="J9" s="102"/>
      <c r="K9" s="102">
        <f>+P9</f>
        <v>37128</v>
      </c>
      <c r="L9" s="102"/>
      <c r="M9" s="102"/>
      <c r="N9" s="102"/>
      <c r="O9" s="102"/>
      <c r="P9" s="85">
        <v>37128</v>
      </c>
      <c r="Q9" s="85">
        <v>36382</v>
      </c>
      <c r="R9" s="84">
        <f>SUM(D9:O9)-P9</f>
        <v>0</v>
      </c>
    </row>
    <row r="10" spans="1:18" x14ac:dyDescent="0.2">
      <c r="A10">
        <f>+A9+1</f>
        <v>3</v>
      </c>
      <c r="B10" s="80" t="s">
        <v>767</v>
      </c>
      <c r="C10" s="535">
        <v>1</v>
      </c>
      <c r="D10" s="101"/>
      <c r="E10" s="102"/>
      <c r="F10" s="102"/>
      <c r="G10" s="104"/>
      <c r="H10" s="103"/>
      <c r="I10" s="103">
        <f>+P10</f>
        <v>51576</v>
      </c>
      <c r="J10" s="102"/>
      <c r="K10" s="102"/>
      <c r="L10" s="102"/>
      <c r="M10" s="102"/>
      <c r="N10" s="102"/>
      <c r="O10" s="102"/>
      <c r="P10" s="85">
        <v>51576</v>
      </c>
      <c r="Q10" s="85">
        <v>36382</v>
      </c>
      <c r="R10" s="84"/>
    </row>
    <row r="11" spans="1:18" x14ac:dyDescent="0.2">
      <c r="A11">
        <v>4</v>
      </c>
      <c r="B11" s="80" t="s">
        <v>786</v>
      </c>
      <c r="C11" s="535">
        <v>1</v>
      </c>
      <c r="D11" s="101"/>
      <c r="E11" s="102"/>
      <c r="F11" s="102"/>
      <c r="G11" s="104"/>
      <c r="H11" s="103"/>
      <c r="I11" s="103">
        <f>+P11</f>
        <v>36128</v>
      </c>
      <c r="J11" s="102"/>
      <c r="K11" s="102"/>
      <c r="L11" s="102"/>
      <c r="M11" s="102"/>
      <c r="N11" s="102"/>
      <c r="O11" s="102"/>
      <c r="P11" s="85">
        <v>36128</v>
      </c>
      <c r="R11" s="84"/>
    </row>
    <row r="12" spans="1:18" x14ac:dyDescent="0.2">
      <c r="A12">
        <v>4</v>
      </c>
      <c r="B12" s="80" t="s">
        <v>770</v>
      </c>
      <c r="C12" s="535">
        <v>1</v>
      </c>
      <c r="D12" s="101"/>
      <c r="E12" s="102"/>
      <c r="F12" s="102"/>
      <c r="G12" s="104"/>
      <c r="H12" s="103"/>
      <c r="I12" s="103">
        <f>+P12</f>
        <v>36128</v>
      </c>
      <c r="J12" s="102"/>
      <c r="K12" s="102"/>
      <c r="L12" s="102"/>
      <c r="M12" s="102"/>
      <c r="N12" s="102"/>
      <c r="O12" s="102"/>
      <c r="P12" s="85">
        <v>36128</v>
      </c>
      <c r="R12" s="84"/>
    </row>
    <row r="13" spans="1:18" x14ac:dyDescent="0.2">
      <c r="A13">
        <v>5</v>
      </c>
      <c r="B13" s="80" t="s">
        <v>478</v>
      </c>
      <c r="C13" s="535">
        <v>1</v>
      </c>
      <c r="D13" s="101">
        <f>+P13*100%</f>
        <v>45985</v>
      </c>
      <c r="E13" s="102"/>
      <c r="F13" s="102"/>
      <c r="G13" s="104"/>
      <c r="H13" s="103"/>
      <c r="I13" s="103"/>
      <c r="J13" s="102"/>
      <c r="K13" s="102"/>
      <c r="L13" s="102"/>
      <c r="M13" s="102"/>
      <c r="N13" s="102"/>
      <c r="O13" s="102"/>
      <c r="P13" s="85">
        <v>45985</v>
      </c>
      <c r="Q13" s="85">
        <v>36382</v>
      </c>
      <c r="R13" s="84">
        <f t="shared" ref="R13:R19" si="0">SUM(D13:O13)-P13</f>
        <v>0</v>
      </c>
    </row>
    <row r="14" spans="1:18" x14ac:dyDescent="0.2">
      <c r="A14">
        <f t="shared" ref="A14:A32" si="1">+A13+1</f>
        <v>6</v>
      </c>
      <c r="B14" s="80" t="s">
        <v>771</v>
      </c>
      <c r="C14" s="577">
        <v>1</v>
      </c>
      <c r="D14" s="576"/>
      <c r="E14" s="102"/>
      <c r="F14" s="102"/>
      <c r="G14" s="104"/>
      <c r="H14" s="103"/>
      <c r="I14" s="103">
        <f>+P14</f>
        <v>50165</v>
      </c>
      <c r="J14" s="102"/>
      <c r="K14" s="102"/>
      <c r="L14" s="102"/>
      <c r="M14" s="102"/>
      <c r="N14" s="102"/>
      <c r="O14" s="102"/>
      <c r="P14" s="85">
        <v>50165</v>
      </c>
      <c r="Q14" s="85">
        <v>36382</v>
      </c>
      <c r="R14" s="84">
        <f t="shared" si="0"/>
        <v>0</v>
      </c>
    </row>
    <row r="15" spans="1:18" x14ac:dyDescent="0.2">
      <c r="A15">
        <f t="shared" si="1"/>
        <v>7</v>
      </c>
      <c r="B15" s="80" t="s">
        <v>772</v>
      </c>
      <c r="C15" s="535">
        <v>1</v>
      </c>
      <c r="D15" s="101"/>
      <c r="E15" s="102"/>
      <c r="F15" s="102">
        <f>+P15*100%</f>
        <v>41461</v>
      </c>
      <c r="G15" s="104"/>
      <c r="H15" s="103"/>
      <c r="I15" s="103"/>
      <c r="J15" s="102"/>
      <c r="K15" s="102"/>
      <c r="L15" s="102"/>
      <c r="M15" s="102"/>
      <c r="N15" s="102"/>
      <c r="O15" s="102"/>
      <c r="P15" s="85">
        <v>41461</v>
      </c>
      <c r="Q15" s="85">
        <v>36382</v>
      </c>
      <c r="R15" s="84">
        <f t="shared" si="0"/>
        <v>0</v>
      </c>
    </row>
    <row r="16" spans="1:18" x14ac:dyDescent="0.2">
      <c r="A16">
        <f t="shared" si="1"/>
        <v>8</v>
      </c>
      <c r="B16" s="5" t="s">
        <v>773</v>
      </c>
      <c r="C16" s="535">
        <v>1</v>
      </c>
      <c r="D16" s="101"/>
      <c r="E16" s="104"/>
      <c r="F16" s="104"/>
      <c r="G16" s="104"/>
      <c r="H16" s="103">
        <f>+P16</f>
        <v>37128</v>
      </c>
      <c r="I16" s="103"/>
      <c r="J16" s="102"/>
      <c r="K16" s="102"/>
      <c r="L16" s="102"/>
      <c r="M16" s="102"/>
      <c r="N16" s="102"/>
      <c r="O16" s="102"/>
      <c r="P16" s="85">
        <v>37128</v>
      </c>
      <c r="Q16" s="85">
        <v>35207</v>
      </c>
      <c r="R16" s="84">
        <f t="shared" si="0"/>
        <v>0</v>
      </c>
    </row>
    <row r="17" spans="1:18" x14ac:dyDescent="0.2">
      <c r="A17">
        <f t="shared" si="1"/>
        <v>9</v>
      </c>
      <c r="B17" s="80" t="s">
        <v>463</v>
      </c>
      <c r="C17" s="535">
        <v>1</v>
      </c>
      <c r="D17" s="101"/>
      <c r="E17" s="104"/>
      <c r="F17" s="104"/>
      <c r="G17" s="104">
        <f>+P17</f>
        <v>47378</v>
      </c>
      <c r="H17" s="103"/>
      <c r="I17" s="103"/>
      <c r="J17" s="102"/>
      <c r="K17" s="102"/>
      <c r="L17" s="102"/>
      <c r="M17" s="102"/>
      <c r="N17" s="102"/>
      <c r="O17" s="102"/>
      <c r="P17" s="85">
        <v>47378</v>
      </c>
      <c r="Q17" s="85">
        <v>39903</v>
      </c>
      <c r="R17" s="84">
        <f t="shared" si="0"/>
        <v>0</v>
      </c>
    </row>
    <row r="18" spans="1:18" x14ac:dyDescent="0.2">
      <c r="A18">
        <f t="shared" si="1"/>
        <v>10</v>
      </c>
      <c r="B18" s="80" t="s">
        <v>202</v>
      </c>
      <c r="C18" s="535">
        <v>1</v>
      </c>
      <c r="D18" s="415"/>
      <c r="E18" s="101"/>
      <c r="F18" s="101"/>
      <c r="G18" s="101"/>
      <c r="H18" s="101"/>
      <c r="I18" s="103"/>
      <c r="J18" s="102">
        <f>+P18*100%</f>
        <v>62137</v>
      </c>
      <c r="K18" s="102"/>
      <c r="L18" s="102"/>
      <c r="M18" s="102"/>
      <c r="N18" s="102"/>
      <c r="O18" s="102"/>
      <c r="P18" s="85">
        <v>62137</v>
      </c>
      <c r="Q18" s="85">
        <v>44597</v>
      </c>
      <c r="R18" s="84">
        <f t="shared" si="0"/>
        <v>0</v>
      </c>
    </row>
    <row r="19" spans="1:18" x14ac:dyDescent="0.2">
      <c r="A19">
        <f t="shared" si="1"/>
        <v>11</v>
      </c>
      <c r="B19" s="80" t="s">
        <v>387</v>
      </c>
      <c r="C19" s="535">
        <v>1</v>
      </c>
      <c r="D19" s="101">
        <f>+P19*100%</f>
        <v>59043</v>
      </c>
      <c r="E19" s="101"/>
      <c r="F19" s="101"/>
      <c r="G19" s="101"/>
      <c r="H19" s="103"/>
      <c r="I19" s="103"/>
      <c r="J19" s="102"/>
      <c r="K19" s="102"/>
      <c r="L19" s="102"/>
      <c r="M19" s="102"/>
      <c r="N19" s="102"/>
      <c r="O19" s="102"/>
      <c r="P19" s="85">
        <v>59043</v>
      </c>
      <c r="Q19" s="85">
        <v>44597</v>
      </c>
      <c r="R19" s="84">
        <f t="shared" si="0"/>
        <v>0</v>
      </c>
    </row>
    <row r="20" spans="1:18" x14ac:dyDescent="0.2">
      <c r="A20">
        <v>12</v>
      </c>
      <c r="B20" s="80" t="s">
        <v>778</v>
      </c>
      <c r="C20" s="535" t="s">
        <v>779</v>
      </c>
      <c r="D20" s="101"/>
      <c r="E20" s="101">
        <f>+P20*40%</f>
        <v>14851.2</v>
      </c>
      <c r="F20" s="101">
        <f>+P20*60%</f>
        <v>22276.799999999999</v>
      </c>
      <c r="G20" s="101"/>
      <c r="H20" s="103"/>
      <c r="I20" s="103"/>
      <c r="J20" s="102"/>
      <c r="K20" s="102"/>
      <c r="L20" s="102"/>
      <c r="M20" s="102"/>
      <c r="N20" s="102"/>
      <c r="O20" s="102"/>
      <c r="P20" s="85">
        <v>37128</v>
      </c>
      <c r="R20" s="84"/>
    </row>
    <row r="21" spans="1:18" x14ac:dyDescent="0.2">
      <c r="A21">
        <v>13</v>
      </c>
      <c r="B21" s="80" t="s">
        <v>203</v>
      </c>
      <c r="C21" s="535">
        <v>1</v>
      </c>
      <c r="D21" s="101"/>
      <c r="E21" s="104"/>
      <c r="F21" s="104"/>
      <c r="G21" s="104"/>
      <c r="H21" s="104"/>
      <c r="I21" s="104">
        <f>+P21</f>
        <v>6300</v>
      </c>
      <c r="J21" s="104"/>
      <c r="K21" s="102"/>
      <c r="L21" s="102"/>
      <c r="M21" s="102"/>
      <c r="N21" s="102"/>
      <c r="O21" s="102"/>
      <c r="P21" s="85">
        <v>6300</v>
      </c>
      <c r="Q21" s="85">
        <v>33854</v>
      </c>
      <c r="R21" s="84">
        <f t="shared" ref="R21:R29" si="2">SUM(D21:O21)-P21</f>
        <v>0</v>
      </c>
    </row>
    <row r="22" spans="1:18" x14ac:dyDescent="0.2">
      <c r="A22">
        <f t="shared" si="1"/>
        <v>14</v>
      </c>
      <c r="B22" s="80" t="s">
        <v>774</v>
      </c>
      <c r="C22" s="535">
        <v>1</v>
      </c>
      <c r="D22" s="101">
        <f>+P22</f>
        <v>51576</v>
      </c>
      <c r="E22" s="104"/>
      <c r="F22" s="104"/>
      <c r="G22" s="104"/>
      <c r="H22" s="103"/>
      <c r="I22" s="103"/>
      <c r="J22" s="102"/>
      <c r="K22" s="102"/>
      <c r="L22" s="102"/>
      <c r="M22" s="102"/>
      <c r="N22" s="102"/>
      <c r="O22" s="102"/>
      <c r="P22" s="85">
        <v>51576</v>
      </c>
      <c r="Q22" s="85">
        <v>39000</v>
      </c>
      <c r="R22" s="84">
        <f t="shared" si="2"/>
        <v>0</v>
      </c>
    </row>
    <row r="23" spans="1:18" x14ac:dyDescent="0.2">
      <c r="A23">
        <f t="shared" si="1"/>
        <v>15</v>
      </c>
      <c r="B23" s="80" t="s">
        <v>775</v>
      </c>
      <c r="C23" s="535">
        <v>1</v>
      </c>
      <c r="D23" s="101">
        <f>+P23</f>
        <v>40999</v>
      </c>
      <c r="E23" s="104"/>
      <c r="F23" s="104"/>
      <c r="G23" s="104"/>
      <c r="H23" s="103"/>
      <c r="I23" s="103"/>
      <c r="J23" s="102"/>
      <c r="K23" s="102"/>
      <c r="L23" s="102"/>
      <c r="M23" s="102"/>
      <c r="N23" s="102"/>
      <c r="O23" s="102"/>
      <c r="P23" s="85">
        <v>40999</v>
      </c>
      <c r="Q23" s="85">
        <v>33854</v>
      </c>
      <c r="R23" s="84">
        <f t="shared" si="2"/>
        <v>0</v>
      </c>
    </row>
    <row r="24" spans="1:18" x14ac:dyDescent="0.2">
      <c r="A24">
        <f t="shared" si="1"/>
        <v>16</v>
      </c>
      <c r="B24" s="80" t="s">
        <v>776</v>
      </c>
      <c r="C24" s="535">
        <v>1</v>
      </c>
      <c r="D24" s="101">
        <f>+P24</f>
        <v>44870</v>
      </c>
      <c r="E24" s="104"/>
      <c r="F24" s="104"/>
      <c r="G24" s="104"/>
      <c r="H24" s="103"/>
      <c r="I24" s="103"/>
      <c r="J24" s="102"/>
      <c r="K24" s="102"/>
      <c r="L24" s="102"/>
      <c r="M24" s="102"/>
      <c r="N24" s="102"/>
      <c r="O24" s="102"/>
      <c r="P24" s="85">
        <v>44870</v>
      </c>
      <c r="Q24" s="85">
        <v>33854</v>
      </c>
      <c r="R24" s="84">
        <f t="shared" si="2"/>
        <v>0</v>
      </c>
    </row>
    <row r="25" spans="1:18" x14ac:dyDescent="0.2">
      <c r="A25">
        <f t="shared" si="1"/>
        <v>17</v>
      </c>
      <c r="B25" s="80" t="s">
        <v>464</v>
      </c>
      <c r="C25" s="535">
        <v>1</v>
      </c>
      <c r="D25" s="101"/>
      <c r="E25" s="104"/>
      <c r="F25" s="104"/>
      <c r="G25" s="104">
        <f>+P25</f>
        <v>47966</v>
      </c>
      <c r="H25" s="103"/>
      <c r="I25" s="103"/>
      <c r="J25" s="102"/>
      <c r="K25" s="102"/>
      <c r="L25" s="102"/>
      <c r="M25" s="102"/>
      <c r="N25" s="102"/>
      <c r="O25" s="102"/>
      <c r="P25" s="85">
        <v>47966</v>
      </c>
      <c r="Q25" s="85">
        <v>33854</v>
      </c>
      <c r="R25" s="84">
        <f t="shared" si="2"/>
        <v>0</v>
      </c>
    </row>
    <row r="26" spans="1:18" x14ac:dyDescent="0.2">
      <c r="A26">
        <f t="shared" si="1"/>
        <v>18</v>
      </c>
      <c r="B26" s="80" t="s">
        <v>777</v>
      </c>
      <c r="C26" s="535">
        <v>1</v>
      </c>
      <c r="D26" s="101"/>
      <c r="E26" s="104"/>
      <c r="F26" s="104"/>
      <c r="G26" s="104"/>
      <c r="H26" s="103"/>
      <c r="I26" s="103"/>
      <c r="J26" s="102">
        <f>+P26</f>
        <v>40999</v>
      </c>
      <c r="K26" s="102"/>
      <c r="L26" s="102"/>
      <c r="M26" s="102"/>
      <c r="N26" s="102"/>
      <c r="O26" s="102"/>
      <c r="P26" s="85">
        <v>40999</v>
      </c>
      <c r="Q26" s="85">
        <v>33854</v>
      </c>
      <c r="R26" s="84">
        <f t="shared" si="2"/>
        <v>0</v>
      </c>
    </row>
    <row r="27" spans="1:18" x14ac:dyDescent="0.2">
      <c r="A27">
        <f t="shared" si="1"/>
        <v>19</v>
      </c>
      <c r="B27" s="80" t="s">
        <v>780</v>
      </c>
      <c r="C27" s="100" t="s">
        <v>781</v>
      </c>
      <c r="D27" s="101"/>
      <c r="E27" s="104">
        <f>+P27*20%</f>
        <v>7425.6</v>
      </c>
      <c r="F27" s="104">
        <f>+P27*80%</f>
        <v>29702.400000000001</v>
      </c>
      <c r="G27" s="104"/>
      <c r="H27" s="103"/>
      <c r="I27" s="103"/>
      <c r="J27" s="102"/>
      <c r="K27" s="102"/>
      <c r="L27" s="102"/>
      <c r="M27" s="102"/>
      <c r="N27" s="102"/>
      <c r="O27" s="102"/>
      <c r="P27" s="85">
        <v>37128</v>
      </c>
      <c r="Q27" s="85">
        <v>37916</v>
      </c>
      <c r="R27" s="84">
        <f t="shared" si="2"/>
        <v>0</v>
      </c>
    </row>
    <row r="28" spans="1:18" x14ac:dyDescent="0.2">
      <c r="A28">
        <f t="shared" si="1"/>
        <v>20</v>
      </c>
      <c r="B28" s="80" t="s">
        <v>782</v>
      </c>
      <c r="C28" s="535">
        <v>1</v>
      </c>
      <c r="D28" s="101"/>
      <c r="E28" s="104"/>
      <c r="F28" s="104"/>
      <c r="G28" s="104"/>
      <c r="H28" s="103"/>
      <c r="I28" s="103">
        <f>+P28</f>
        <v>40017</v>
      </c>
      <c r="J28" s="102"/>
      <c r="K28" s="102"/>
      <c r="L28" s="102"/>
      <c r="M28" s="102"/>
      <c r="N28" s="102"/>
      <c r="O28" s="102"/>
      <c r="P28" s="85">
        <v>40017</v>
      </c>
      <c r="Q28" s="85">
        <v>37916</v>
      </c>
      <c r="R28" s="84">
        <f t="shared" si="2"/>
        <v>0</v>
      </c>
    </row>
    <row r="29" spans="1:18" x14ac:dyDescent="0.2">
      <c r="A29">
        <f t="shared" si="1"/>
        <v>21</v>
      </c>
      <c r="B29" s="80" t="s">
        <v>204</v>
      </c>
      <c r="C29" s="535" t="s">
        <v>785</v>
      </c>
      <c r="D29" s="101"/>
      <c r="E29" s="415">
        <f>+P29*80%</f>
        <v>47936</v>
      </c>
      <c r="F29" s="104"/>
      <c r="G29" s="104"/>
      <c r="H29" s="103">
        <f>+P29*20%</f>
        <v>11984</v>
      </c>
      <c r="I29" s="103"/>
      <c r="J29" s="102"/>
      <c r="K29" s="102"/>
      <c r="L29" s="102"/>
      <c r="M29" s="102"/>
      <c r="N29" s="102"/>
      <c r="O29" s="102"/>
      <c r="P29" s="85">
        <v>59920</v>
      </c>
      <c r="Q29" s="85">
        <v>49399</v>
      </c>
      <c r="R29" s="84">
        <f t="shared" si="2"/>
        <v>0</v>
      </c>
    </row>
    <row r="30" spans="1:18" x14ac:dyDescent="0.2">
      <c r="A30">
        <f t="shared" si="1"/>
        <v>22</v>
      </c>
      <c r="B30" s="80" t="s">
        <v>205</v>
      </c>
      <c r="C30" s="535">
        <v>1</v>
      </c>
      <c r="D30"/>
      <c r="E30" s="104"/>
      <c r="F30" s="101">
        <f>+P30</f>
        <v>62137</v>
      </c>
      <c r="G30" s="104"/>
      <c r="H30" s="103"/>
      <c r="I30" s="103"/>
      <c r="J30" s="102"/>
      <c r="K30" s="102"/>
      <c r="L30" s="102"/>
      <c r="M30" s="102"/>
      <c r="N30" s="102"/>
      <c r="O30" s="102"/>
      <c r="P30" s="85">
        <v>62137</v>
      </c>
      <c r="Q30" s="85">
        <v>37780</v>
      </c>
      <c r="R30" s="84"/>
    </row>
    <row r="31" spans="1:18" x14ac:dyDescent="0.2">
      <c r="A31">
        <f t="shared" si="1"/>
        <v>23</v>
      </c>
      <c r="B31" s="80" t="s">
        <v>783</v>
      </c>
      <c r="C31" s="535">
        <v>1</v>
      </c>
      <c r="D31"/>
      <c r="E31" s="104"/>
      <c r="F31" s="101"/>
      <c r="G31" s="104"/>
      <c r="H31" s="103"/>
      <c r="I31" s="103"/>
      <c r="J31" s="102">
        <f>+P31</f>
        <v>12600</v>
      </c>
      <c r="K31" s="102"/>
      <c r="L31" s="102"/>
      <c r="M31" s="102"/>
      <c r="N31" s="102"/>
      <c r="O31" s="102"/>
      <c r="P31" s="85">
        <v>12600</v>
      </c>
      <c r="Q31" s="85">
        <v>43423</v>
      </c>
      <c r="R31" s="84">
        <f>SUM(D31:O31)-P31</f>
        <v>0</v>
      </c>
    </row>
    <row r="32" spans="1:18" x14ac:dyDescent="0.2">
      <c r="A32">
        <f t="shared" si="1"/>
        <v>24</v>
      </c>
      <c r="B32" s="80" t="s">
        <v>206</v>
      </c>
      <c r="C32" s="535">
        <v>1</v>
      </c>
      <c r="D32" s="101">
        <f>+P32</f>
        <v>52952</v>
      </c>
      <c r="E32" s="104"/>
      <c r="F32" s="104"/>
      <c r="G32" s="104"/>
      <c r="H32" s="103"/>
      <c r="I32" s="103"/>
      <c r="J32" s="102"/>
      <c r="K32" s="102"/>
      <c r="L32" s="102"/>
      <c r="M32" s="102"/>
      <c r="N32" s="102"/>
      <c r="O32" s="102"/>
      <c r="P32" s="85">
        <v>52952</v>
      </c>
      <c r="Q32" s="85">
        <v>43423</v>
      </c>
      <c r="R32" s="84">
        <f>SUM(D32:O32)-P32</f>
        <v>0</v>
      </c>
    </row>
    <row r="33" spans="1:19" ht="13.5" thickBot="1" x14ac:dyDescent="0.25">
      <c r="A33">
        <v>25</v>
      </c>
      <c r="B33" s="80" t="s">
        <v>571</v>
      </c>
      <c r="C33" s="537" t="s">
        <v>784</v>
      </c>
      <c r="D33" s="101"/>
      <c r="E33" s="104"/>
      <c r="F33" s="104"/>
      <c r="G33" s="104"/>
      <c r="H33" s="103"/>
      <c r="I33" s="103">
        <f>+P33*91.37%</f>
        <v>61050.692900000002</v>
      </c>
      <c r="J33" s="102"/>
      <c r="K33" s="102"/>
      <c r="L33" s="102"/>
      <c r="M33" s="102">
        <f>+P33*8.627%</f>
        <v>5764.3025900000011</v>
      </c>
      <c r="N33" s="102"/>
      <c r="O33" s="102">
        <v>0</v>
      </c>
      <c r="P33" s="85">
        <v>66817</v>
      </c>
      <c r="Q33" s="105">
        <v>46945</v>
      </c>
      <c r="R33" s="84">
        <f>SUM(D33:O33)-P33</f>
        <v>-2.0045099999988452</v>
      </c>
    </row>
    <row r="34" spans="1:19" s="109" customFormat="1" ht="13.5" thickBot="1" x14ac:dyDescent="0.25">
      <c r="A34" s="106"/>
      <c r="B34" s="107" t="s">
        <v>207</v>
      </c>
      <c r="C34" s="107"/>
      <c r="D34" s="318">
        <f t="shared" ref="D34:M34" si="3">SUM(D8:D33)</f>
        <v>295425</v>
      </c>
      <c r="E34" s="318">
        <f t="shared" si="3"/>
        <v>70212.800000000003</v>
      </c>
      <c r="F34" s="318">
        <f t="shared" si="3"/>
        <v>155577.20000000001</v>
      </c>
      <c r="G34" s="318">
        <f t="shared" si="3"/>
        <v>95344</v>
      </c>
      <c r="H34" s="318">
        <f t="shared" si="3"/>
        <v>49112</v>
      </c>
      <c r="I34" s="318">
        <f t="shared" si="3"/>
        <v>318492.69290000002</v>
      </c>
      <c r="J34" s="318">
        <f t="shared" si="3"/>
        <v>115736</v>
      </c>
      <c r="K34" s="318">
        <f t="shared" si="3"/>
        <v>37128</v>
      </c>
      <c r="L34" s="318">
        <f t="shared" si="3"/>
        <v>0</v>
      </c>
      <c r="M34" s="318">
        <f t="shared" si="3"/>
        <v>5764.3025900000011</v>
      </c>
      <c r="N34" s="318">
        <f>SUM(N9:N33)</f>
        <v>0</v>
      </c>
      <c r="O34" s="318">
        <f>SUM(O9:O33)</f>
        <v>0</v>
      </c>
      <c r="P34" s="318">
        <f>SUM(P8:P33)</f>
        <v>1142794</v>
      </c>
      <c r="Q34" s="108">
        <f>SUM(Q9:Q32)</f>
        <v>804341</v>
      </c>
      <c r="R34" s="84">
        <f>SUM(D34:O34)-P34</f>
        <v>-2.0045099998824298</v>
      </c>
    </row>
    <row r="35" spans="1:19" s="5" customFormat="1" x14ac:dyDescent="0.2">
      <c r="B35" s="110"/>
      <c r="C35" s="100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367"/>
      <c r="Q35" s="111"/>
    </row>
    <row r="36" spans="1:19" x14ac:dyDescent="0.2">
      <c r="A36" s="559"/>
      <c r="B36" s="560" t="s">
        <v>814</v>
      </c>
      <c r="C36" s="561" t="s">
        <v>815</v>
      </c>
      <c r="D36" s="562"/>
      <c r="E36" s="563"/>
      <c r="F36" s="564"/>
      <c r="G36" s="563"/>
      <c r="H36" s="565"/>
      <c r="I36" s="565"/>
      <c r="J36" s="566"/>
      <c r="K36" s="566"/>
      <c r="L36" s="566"/>
      <c r="M36" s="566"/>
      <c r="N36" s="566"/>
      <c r="O36" s="566"/>
      <c r="P36" s="567">
        <f>+P34*30%</f>
        <v>342838.2</v>
      </c>
      <c r="Q36" s="105"/>
      <c r="R36" s="84"/>
    </row>
    <row r="37" spans="1:19" x14ac:dyDescent="0.2">
      <c r="B37" s="7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1:19" s="112" customFormat="1" ht="15" x14ac:dyDescent="0.2">
      <c r="B38" s="568" t="s">
        <v>155</v>
      </c>
      <c r="C38" s="569">
        <v>7.6499999999999999E-2</v>
      </c>
      <c r="D38" s="570"/>
      <c r="E38" s="570"/>
      <c r="F38" s="570"/>
      <c r="G38" s="570"/>
      <c r="H38" s="570"/>
      <c r="I38" s="570"/>
      <c r="J38" s="570"/>
      <c r="K38" s="570"/>
      <c r="L38" s="570"/>
      <c r="M38" s="570"/>
      <c r="N38" s="570"/>
      <c r="O38" s="570"/>
      <c r="P38" s="571">
        <f>+P34*7.65%</f>
        <v>87423.740999999995</v>
      </c>
      <c r="Q38" s="114"/>
      <c r="R38" s="113"/>
      <c r="S38" s="113"/>
    </row>
    <row r="39" spans="1:19" s="115" customFormat="1" ht="15" x14ac:dyDescent="0.2">
      <c r="B39" s="113"/>
      <c r="C39" s="113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7"/>
      <c r="Q39" s="117"/>
      <c r="R39" s="118"/>
    </row>
    <row r="40" spans="1:19" x14ac:dyDescent="0.2">
      <c r="B40" s="572" t="s">
        <v>813</v>
      </c>
      <c r="C40" s="573"/>
      <c r="D40" s="574"/>
      <c r="E40" s="574"/>
      <c r="F40" s="574"/>
      <c r="G40" s="574"/>
      <c r="H40" s="574"/>
      <c r="I40" s="574"/>
      <c r="J40" s="574"/>
      <c r="K40" s="574"/>
      <c r="L40" s="574"/>
      <c r="M40" s="574"/>
      <c r="N40" s="574"/>
      <c r="O40" s="574"/>
      <c r="P40" s="575">
        <v>282110</v>
      </c>
    </row>
    <row r="42" spans="1:19" x14ac:dyDescent="0.2">
      <c r="B42" s="572" t="s">
        <v>146</v>
      </c>
      <c r="C42" s="573"/>
      <c r="D42" s="574"/>
      <c r="E42" s="574"/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5">
        <f>SUM(P34+P36+P38+P40)</f>
        <v>1855165.9409999999</v>
      </c>
    </row>
  </sheetData>
  <mergeCells count="1">
    <mergeCell ref="B2:P2"/>
  </mergeCells>
  <printOptions headings="1" gridLines="1"/>
  <pageMargins left="0.49" right="0.13" top="0.61" bottom="0.14000000000000001" header="0.4" footer="0.22"/>
  <pageSetup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73866-2A32-4E80-A2E8-CFCD7A874CEF}">
  <sheetPr>
    <pageSetUpPr fitToPage="1"/>
  </sheetPr>
  <dimension ref="A1:U41"/>
  <sheetViews>
    <sheetView topLeftCell="A4" zoomScale="90" workbookViewId="0">
      <pane xSplit="1" topLeftCell="B1" activePane="topRight" state="frozen"/>
      <selection activeCell="Q24" sqref="Q24"/>
      <selection pane="topRight" activeCell="S39" sqref="S39"/>
    </sheetView>
  </sheetViews>
  <sheetFormatPr defaultColWidth="9.140625" defaultRowHeight="12.75" x14ac:dyDescent="0.2"/>
  <cols>
    <col min="1" max="1" width="34.7109375" style="22" customWidth="1"/>
    <col min="2" max="2" width="12.28515625" style="70" bestFit="1" customWidth="1"/>
    <col min="3" max="3" width="10" style="21" bestFit="1" customWidth="1"/>
    <col min="4" max="4" width="11.140625" style="21" bestFit="1" customWidth="1"/>
    <col min="5" max="5" width="10.5703125" style="21" customWidth="1"/>
    <col min="6" max="6" width="12.140625" style="21" bestFit="1" customWidth="1"/>
    <col min="7" max="7" width="10.42578125" style="21" customWidth="1"/>
    <col min="8" max="9" width="11.140625" style="21" bestFit="1" customWidth="1"/>
    <col min="10" max="10" width="10.28515625" style="21" bestFit="1" customWidth="1"/>
    <col min="11" max="11" width="10.7109375" style="21" bestFit="1" customWidth="1"/>
    <col min="12" max="12" width="10.28515625" style="21" bestFit="1" customWidth="1"/>
    <col min="13" max="13" width="11.28515625" style="21" bestFit="1" customWidth="1"/>
    <col min="14" max="16" width="12.28515625" style="21" bestFit="1" customWidth="1"/>
    <col min="17" max="17" width="9.5703125" style="21" bestFit="1" customWidth="1"/>
    <col min="18" max="18" width="11.140625" style="21" bestFit="1" customWidth="1"/>
    <col min="19" max="19" width="10.5703125" style="323" bestFit="1" customWidth="1"/>
    <col min="20" max="20" width="5.28515625" style="22" bestFit="1" customWidth="1"/>
    <col min="21" max="21" width="10" style="23" bestFit="1" customWidth="1"/>
    <col min="22" max="22" width="5.5703125" style="22" bestFit="1" customWidth="1"/>
    <col min="23" max="23" width="28.5703125" style="22" bestFit="1" customWidth="1"/>
    <col min="24" max="16384" width="9.140625" style="22"/>
  </cols>
  <sheetData>
    <row r="1" spans="1:21" ht="15.75" x14ac:dyDescent="0.25">
      <c r="A1" s="18">
        <v>45175</v>
      </c>
      <c r="B1" s="19"/>
      <c r="C1" s="20"/>
      <c r="S1" s="320"/>
    </row>
    <row r="2" spans="1:21" s="24" customFormat="1" ht="38.25" thickBot="1" x14ac:dyDescent="0.55000000000000004">
      <c r="A2" s="950" t="s">
        <v>1351</v>
      </c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U2" s="25"/>
    </row>
    <row r="3" spans="1:21" ht="19.5" thickBot="1" x14ac:dyDescent="0.35">
      <c r="A3" s="26" t="s">
        <v>217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21" ht="18.75" x14ac:dyDescent="0.3">
      <c r="A4" s="339" t="s">
        <v>789</v>
      </c>
      <c r="B4" s="467"/>
      <c r="C4" s="29" t="s">
        <v>112</v>
      </c>
      <c r="D4" s="29" t="s">
        <v>787</v>
      </c>
      <c r="E4" s="29" t="s">
        <v>115</v>
      </c>
      <c r="F4" s="29" t="s">
        <v>450</v>
      </c>
      <c r="G4" s="29" t="s">
        <v>235</v>
      </c>
      <c r="H4" s="29" t="s">
        <v>116</v>
      </c>
      <c r="I4" s="29" t="s">
        <v>1329</v>
      </c>
      <c r="J4" s="29" t="s">
        <v>118</v>
      </c>
      <c r="K4" s="29" t="s">
        <v>118</v>
      </c>
      <c r="L4" s="29" t="s">
        <v>118</v>
      </c>
      <c r="M4" s="29" t="s">
        <v>119</v>
      </c>
      <c r="N4" s="29" t="s">
        <v>119</v>
      </c>
      <c r="O4" s="29" t="s">
        <v>119</v>
      </c>
      <c r="P4" s="29" t="s">
        <v>119</v>
      </c>
      <c r="Q4" s="28"/>
      <c r="R4" s="29" t="s">
        <v>120</v>
      </c>
      <c r="S4" s="28"/>
    </row>
    <row r="5" spans="1:21" s="30" customFormat="1" ht="11.25" x14ac:dyDescent="0.2">
      <c r="B5" s="31"/>
      <c r="C5" s="29" t="s">
        <v>121</v>
      </c>
      <c r="D5" s="29" t="s">
        <v>121</v>
      </c>
      <c r="E5" s="29" t="s">
        <v>121</v>
      </c>
      <c r="F5" s="29" t="s">
        <v>121</v>
      </c>
      <c r="G5" s="29" t="s">
        <v>121</v>
      </c>
      <c r="H5" s="29" t="s">
        <v>121</v>
      </c>
      <c r="I5" s="29" t="s">
        <v>122</v>
      </c>
      <c r="J5" s="29" t="s">
        <v>123</v>
      </c>
      <c r="K5" s="29" t="s">
        <v>124</v>
      </c>
      <c r="L5" s="29" t="s">
        <v>125</v>
      </c>
      <c r="M5" s="29" t="s">
        <v>126</v>
      </c>
      <c r="N5" s="29" t="s">
        <v>127</v>
      </c>
      <c r="O5" s="29" t="s">
        <v>435</v>
      </c>
      <c r="P5" s="29" t="s">
        <v>128</v>
      </c>
      <c r="Q5" s="29" t="s">
        <v>129</v>
      </c>
      <c r="R5" s="29" t="s">
        <v>130</v>
      </c>
      <c r="S5" s="321"/>
      <c r="U5" s="32"/>
    </row>
    <row r="6" spans="1:21" s="39" customFormat="1" ht="13.5" thickBot="1" x14ac:dyDescent="0.25">
      <c r="A6" s="33" t="s">
        <v>131</v>
      </c>
      <c r="B6" s="34"/>
      <c r="C6" s="657">
        <v>1630.1030000000001</v>
      </c>
      <c r="D6" s="657">
        <v>1630.1110000000001</v>
      </c>
      <c r="E6" s="657">
        <v>1630.105</v>
      </c>
      <c r="F6" s="657">
        <v>1630.104</v>
      </c>
      <c r="G6" s="657">
        <v>1630.107</v>
      </c>
      <c r="H6" s="657">
        <v>1630.106</v>
      </c>
      <c r="I6" s="657">
        <v>1630.1120000000001</v>
      </c>
      <c r="J6" s="657">
        <v>1620.104</v>
      </c>
      <c r="K6" s="657">
        <v>1620.1010000000001</v>
      </c>
      <c r="L6" s="657">
        <v>1620.1020000000001</v>
      </c>
      <c r="M6" s="657">
        <v>1620.105</v>
      </c>
      <c r="N6" s="657">
        <v>1650.1030000000001</v>
      </c>
      <c r="O6" s="657">
        <v>1620.106</v>
      </c>
      <c r="P6" s="657">
        <v>1650.1020000000001</v>
      </c>
      <c r="Q6" s="657">
        <v>1640</v>
      </c>
      <c r="R6" s="657">
        <v>1610.1010000000001</v>
      </c>
      <c r="S6" s="36" t="s">
        <v>146</v>
      </c>
      <c r="T6" s="37"/>
      <c r="U6" s="38"/>
    </row>
    <row r="7" spans="1:21" s="39" customFormat="1" x14ac:dyDescent="0.2">
      <c r="A7" s="656" t="s">
        <v>1352</v>
      </c>
      <c r="B7" s="551"/>
      <c r="C7" s="552"/>
      <c r="D7" s="554">
        <f>8*185*17</f>
        <v>25160</v>
      </c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439">
        <f>SUM(C7:R7)</f>
        <v>25160</v>
      </c>
      <c r="T7" s="37"/>
      <c r="U7" s="38"/>
    </row>
    <row r="8" spans="1:21" x14ac:dyDescent="0.2">
      <c r="A8" s="543" t="s">
        <v>1353</v>
      </c>
      <c r="B8" s="41"/>
      <c r="C8" s="43"/>
      <c r="D8" s="43"/>
      <c r="E8" s="44"/>
      <c r="F8" s="44"/>
      <c r="G8" s="44"/>
      <c r="H8" s="44"/>
      <c r="I8" s="44"/>
      <c r="J8" s="44"/>
      <c r="K8" s="44"/>
      <c r="L8" s="44"/>
      <c r="M8" s="50"/>
      <c r="N8" s="44"/>
      <c r="O8" s="44"/>
      <c r="P8" s="662">
        <f>8*185*16</f>
        <v>23680</v>
      </c>
      <c r="Q8" s="44"/>
      <c r="R8" s="44"/>
      <c r="S8" s="667">
        <f>SUM(C8:R8)</f>
        <v>23680</v>
      </c>
      <c r="T8" s="45">
        <f t="shared" ref="T8:T32" si="0">SUM(C8:R8)-S8</f>
        <v>0</v>
      </c>
      <c r="U8" s="44"/>
    </row>
    <row r="9" spans="1:21" x14ac:dyDescent="0.2">
      <c r="A9" s="543" t="s">
        <v>792</v>
      </c>
      <c r="B9" s="41"/>
      <c r="C9" s="43"/>
      <c r="D9" s="43"/>
      <c r="E9" s="43"/>
      <c r="F9" s="44"/>
      <c r="G9" s="44"/>
      <c r="H9" s="44"/>
      <c r="I9" s="44"/>
      <c r="J9" s="44"/>
      <c r="K9" s="44"/>
      <c r="L9" s="44"/>
      <c r="M9" s="44"/>
      <c r="N9" s="44"/>
      <c r="O9" s="44"/>
      <c r="P9" s="660">
        <f>+(S9*100%)</f>
        <v>400</v>
      </c>
      <c r="Q9" s="44"/>
      <c r="R9" s="44"/>
      <c r="S9" s="668">
        <v>400</v>
      </c>
      <c r="T9" s="45"/>
      <c r="U9" s="44"/>
    </row>
    <row r="10" spans="1:21" x14ac:dyDescent="0.2">
      <c r="A10" s="543" t="s">
        <v>1354</v>
      </c>
      <c r="B10" s="41"/>
      <c r="C10" s="43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675">
        <f>7*16*185</f>
        <v>20720</v>
      </c>
      <c r="O10" s="44"/>
      <c r="P10" s="44"/>
      <c r="Q10" s="663"/>
      <c r="R10" s="44"/>
      <c r="S10" s="51">
        <f>SUM(C10:R10)</f>
        <v>20720</v>
      </c>
      <c r="T10" s="45">
        <f t="shared" si="0"/>
        <v>0</v>
      </c>
      <c r="U10" s="44"/>
    </row>
    <row r="11" spans="1:21" x14ac:dyDescent="0.2">
      <c r="A11" s="543" t="s">
        <v>794</v>
      </c>
      <c r="B11" s="41"/>
      <c r="C11" s="43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659">
        <f>+S11*100%</f>
        <v>400</v>
      </c>
      <c r="O11" s="44"/>
      <c r="P11" s="44"/>
      <c r="Q11" s="664"/>
      <c r="R11" s="666"/>
      <c r="S11" s="669">
        <v>400</v>
      </c>
      <c r="T11" s="45"/>
      <c r="U11" s="44"/>
    </row>
    <row r="12" spans="1:21" x14ac:dyDescent="0.2">
      <c r="A12" s="538" t="s">
        <v>795</v>
      </c>
      <c r="B12" s="41"/>
      <c r="C12" s="42"/>
      <c r="D12" s="43"/>
      <c r="E12" s="42"/>
      <c r="F12" s="44"/>
      <c r="G12" s="319"/>
      <c r="H12" s="319"/>
      <c r="I12" s="44"/>
      <c r="J12" s="47">
        <f>8*240*17.51</f>
        <v>33619.200000000004</v>
      </c>
      <c r="K12" s="44"/>
      <c r="L12" s="44"/>
      <c r="M12" s="42"/>
      <c r="N12" s="658"/>
      <c r="O12" s="44"/>
      <c r="P12" s="44"/>
      <c r="Q12" s="22"/>
      <c r="R12" s="44"/>
      <c r="S12" s="670">
        <f>SUM(C12:R12)</f>
        <v>33619.200000000004</v>
      </c>
      <c r="T12" s="45">
        <f t="shared" si="0"/>
        <v>0</v>
      </c>
      <c r="U12" s="44"/>
    </row>
    <row r="13" spans="1:21" x14ac:dyDescent="0.2">
      <c r="A13" s="40" t="s">
        <v>147</v>
      </c>
      <c r="B13" s="41"/>
      <c r="C13" s="42"/>
      <c r="D13" s="43"/>
      <c r="E13" s="42"/>
      <c r="F13" s="44"/>
      <c r="G13" s="319"/>
      <c r="H13" s="304"/>
      <c r="I13" s="44"/>
      <c r="J13" s="44">
        <f>+S13</f>
        <v>800</v>
      </c>
      <c r="K13" s="44"/>
      <c r="L13" s="44"/>
      <c r="M13" s="661"/>
      <c r="N13" s="44"/>
      <c r="O13" s="44"/>
      <c r="P13" s="44"/>
      <c r="Q13" s="22"/>
      <c r="R13" s="665"/>
      <c r="S13" s="672">
        <v>800</v>
      </c>
      <c r="T13" s="45">
        <f t="shared" si="0"/>
        <v>0</v>
      </c>
      <c r="U13" s="44"/>
    </row>
    <row r="14" spans="1:21" x14ac:dyDescent="0.2">
      <c r="A14" s="538" t="s">
        <v>1355</v>
      </c>
      <c r="B14" s="41"/>
      <c r="C14" s="46">
        <f>0.5*185*17</f>
        <v>1572.5</v>
      </c>
      <c r="D14" s="43"/>
      <c r="E14" s="42"/>
      <c r="F14" s="47">
        <f>7.25*185*17</f>
        <v>22801.25</v>
      </c>
      <c r="G14" s="319"/>
      <c r="H14" s="304"/>
      <c r="I14" s="44"/>
      <c r="J14" s="44"/>
      <c r="K14" s="44"/>
      <c r="L14" s="44"/>
      <c r="M14" s="676"/>
      <c r="N14" s="44"/>
      <c r="O14" s="44"/>
      <c r="P14" s="44"/>
      <c r="Q14" s="22"/>
      <c r="R14" s="663"/>
      <c r="S14" s="51">
        <f>SUM(C14:R14)</f>
        <v>24373.75</v>
      </c>
      <c r="T14" s="45"/>
      <c r="U14" s="44"/>
    </row>
    <row r="15" spans="1:21" x14ac:dyDescent="0.2">
      <c r="A15" s="538" t="s">
        <v>796</v>
      </c>
      <c r="B15" s="41"/>
      <c r="C15" s="43"/>
      <c r="D15" s="43"/>
      <c r="E15" s="44"/>
      <c r="F15" s="44"/>
      <c r="G15" s="44"/>
      <c r="H15" s="44"/>
      <c r="I15" s="44"/>
      <c r="J15" s="44"/>
      <c r="K15" s="546">
        <f>4*240*18.51</f>
        <v>17769.600000000002</v>
      </c>
      <c r="L15" s="47">
        <f>4*240*18.51</f>
        <v>17769.600000000002</v>
      </c>
      <c r="M15" s="44"/>
      <c r="N15" s="44"/>
      <c r="O15" s="22"/>
      <c r="P15" s="22"/>
      <c r="Q15" s="44"/>
      <c r="R15" s="44"/>
      <c r="S15" s="51">
        <f>SUM(C15:R15)</f>
        <v>35539.200000000004</v>
      </c>
      <c r="T15" s="45">
        <f t="shared" si="0"/>
        <v>0</v>
      </c>
      <c r="U15" s="44"/>
    </row>
    <row r="16" spans="1:21" x14ac:dyDescent="0.2">
      <c r="A16" s="40" t="s">
        <v>149</v>
      </c>
      <c r="B16" s="41"/>
      <c r="C16" s="43"/>
      <c r="D16" s="43"/>
      <c r="E16" s="44"/>
      <c r="F16" s="44"/>
      <c r="G16" s="44"/>
      <c r="H16" s="44"/>
      <c r="I16" s="44"/>
      <c r="J16" s="44"/>
      <c r="K16" s="44">
        <f>+S16*4/8</f>
        <v>250</v>
      </c>
      <c r="L16" s="44">
        <f>+S16*4/8</f>
        <v>250</v>
      </c>
      <c r="M16" s="44"/>
      <c r="N16" s="44"/>
      <c r="O16" s="22"/>
      <c r="P16" s="22"/>
      <c r="Q16" s="44"/>
      <c r="R16" s="44"/>
      <c r="S16" s="671">
        <v>500</v>
      </c>
      <c r="T16" s="45">
        <f t="shared" si="0"/>
        <v>0</v>
      </c>
      <c r="U16" s="44"/>
    </row>
    <row r="17" spans="1:21" x14ac:dyDescent="0.2">
      <c r="A17" s="538" t="s">
        <v>798</v>
      </c>
      <c r="B17" s="41"/>
      <c r="C17" s="42"/>
      <c r="D17" s="43"/>
      <c r="E17" s="22"/>
      <c r="F17" s="50"/>
      <c r="G17" s="44"/>
      <c r="H17" s="22"/>
      <c r="I17" s="319"/>
      <c r="J17" s="44"/>
      <c r="K17" s="44"/>
      <c r="L17" s="44"/>
      <c r="M17" s="42"/>
      <c r="N17" s="44"/>
      <c r="O17" s="44"/>
      <c r="P17" s="44"/>
      <c r="Q17" s="47">
        <f>8*260*17.5</f>
        <v>36400</v>
      </c>
      <c r="R17" s="44"/>
      <c r="S17" s="51">
        <f>SUM(C17:R17)</f>
        <v>36400</v>
      </c>
      <c r="T17" s="45">
        <f t="shared" si="0"/>
        <v>0</v>
      </c>
      <c r="U17" s="44"/>
    </row>
    <row r="18" spans="1:21" x14ac:dyDescent="0.2">
      <c r="A18" s="538" t="s">
        <v>799</v>
      </c>
      <c r="B18" s="4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44"/>
      <c r="O18" s="44"/>
      <c r="P18" s="44"/>
      <c r="Q18" s="47">
        <f>8*260*16.5</f>
        <v>34320</v>
      </c>
      <c r="R18" s="22"/>
      <c r="S18" s="51">
        <f>SUM(C18:R18)</f>
        <v>34320</v>
      </c>
      <c r="T18" s="45">
        <f t="shared" si="0"/>
        <v>0</v>
      </c>
      <c r="U18" s="44"/>
    </row>
    <row r="19" spans="1:21" x14ac:dyDescent="0.2">
      <c r="A19" s="538" t="s">
        <v>1356</v>
      </c>
      <c r="B19" s="4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44"/>
      <c r="O19" s="44"/>
      <c r="P19" s="44"/>
      <c r="Q19" s="44">
        <f>+S19</f>
        <v>400</v>
      </c>
      <c r="R19" s="22"/>
      <c r="S19" s="544">
        <v>400</v>
      </c>
      <c r="T19" s="45"/>
      <c r="U19" s="44"/>
    </row>
    <row r="20" spans="1:21" x14ac:dyDescent="0.2">
      <c r="A20" s="538" t="s">
        <v>1357</v>
      </c>
      <c r="B20" s="48"/>
      <c r="C20" s="548">
        <f>2*185*16</f>
        <v>5920</v>
      </c>
      <c r="D20" s="673"/>
      <c r="E20" s="546">
        <f>4.75*185*16</f>
        <v>14060</v>
      </c>
      <c r="F20" s="545"/>
      <c r="G20" s="50"/>
      <c r="H20" s="50"/>
      <c r="I20" s="50"/>
      <c r="J20" s="50"/>
      <c r="K20" s="50"/>
      <c r="L20" s="50"/>
      <c r="M20" s="546">
        <f>1*185*16</f>
        <v>2960</v>
      </c>
      <c r="N20" s="50"/>
      <c r="O20" s="50"/>
      <c r="P20" s="50"/>
      <c r="Q20" s="50"/>
      <c r="R20" s="50"/>
      <c r="S20" s="51">
        <f t="shared" ref="S20:S25" si="1">SUM(C20:R20)</f>
        <v>22940</v>
      </c>
      <c r="T20" s="45">
        <f t="shared" si="0"/>
        <v>0</v>
      </c>
      <c r="U20" s="44"/>
    </row>
    <row r="21" spans="1:21" x14ac:dyDescent="0.2">
      <c r="A21" s="538" t="s">
        <v>1358</v>
      </c>
      <c r="B21" s="48"/>
      <c r="C21" s="547"/>
      <c r="D21" s="65"/>
      <c r="E21" s="545"/>
      <c r="F21" s="545"/>
      <c r="G21" s="50"/>
      <c r="H21" s="50"/>
      <c r="I21" s="50"/>
      <c r="J21" s="50"/>
      <c r="K21" s="50"/>
      <c r="L21" s="50"/>
      <c r="M21" s="545"/>
      <c r="N21" s="50"/>
      <c r="O21" s="50"/>
      <c r="P21" s="50"/>
      <c r="Q21" s="50"/>
      <c r="R21" s="546">
        <f>6*185*18.05</f>
        <v>20035.5</v>
      </c>
      <c r="S21" s="51">
        <f t="shared" si="1"/>
        <v>20035.5</v>
      </c>
      <c r="T21" s="45"/>
      <c r="U21" s="44"/>
    </row>
    <row r="22" spans="1:21" x14ac:dyDescent="0.2">
      <c r="A22" s="538" t="s">
        <v>1359</v>
      </c>
      <c r="B22" s="48"/>
      <c r="C22" s="49"/>
      <c r="D22" s="674">
        <f>8*185*17</f>
        <v>25160</v>
      </c>
      <c r="E22" s="50"/>
      <c r="F22" s="677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>
        <f t="shared" si="1"/>
        <v>25160</v>
      </c>
      <c r="T22" s="45"/>
      <c r="U22" s="44"/>
    </row>
    <row r="23" spans="1:21" s="52" customFormat="1" x14ac:dyDescent="0.2">
      <c r="A23" s="538" t="s">
        <v>1360</v>
      </c>
      <c r="B23" s="48"/>
      <c r="C23" s="547"/>
      <c r="D23" s="50"/>
      <c r="E23" s="545"/>
      <c r="F23" s="50"/>
      <c r="G23" s="50"/>
      <c r="H23" s="50"/>
      <c r="I23" s="50"/>
      <c r="J23" s="50"/>
      <c r="K23" s="50"/>
      <c r="L23" s="50"/>
      <c r="M23" s="545"/>
      <c r="N23" s="546">
        <f>4.5*185*16</f>
        <v>13320</v>
      </c>
      <c r="O23" s="50"/>
      <c r="P23" s="50"/>
      <c r="Q23" s="546">
        <f>0.5*185*16.5</f>
        <v>1526.25</v>
      </c>
      <c r="R23" s="50"/>
      <c r="S23" s="51">
        <f t="shared" si="1"/>
        <v>14846.25</v>
      </c>
      <c r="T23" s="45">
        <f t="shared" si="0"/>
        <v>0</v>
      </c>
      <c r="U23" s="50"/>
    </row>
    <row r="24" spans="1:21" x14ac:dyDescent="0.2">
      <c r="A24" s="538" t="s">
        <v>1361</v>
      </c>
      <c r="B24" s="41"/>
      <c r="C24" s="678">
        <f>0.5*185*17</f>
        <v>1572.5</v>
      </c>
      <c r="D24" s="22"/>
      <c r="E24" s="22"/>
      <c r="F24" s="47">
        <f>7.5*185*17</f>
        <v>23587.5</v>
      </c>
      <c r="G24" s="22"/>
      <c r="H24" s="22"/>
      <c r="I24" s="22"/>
      <c r="J24" s="22"/>
      <c r="K24" s="22"/>
      <c r="L24" s="22"/>
      <c r="M24" s="22"/>
      <c r="N24" s="44"/>
      <c r="O24" s="44"/>
      <c r="P24" s="44"/>
      <c r="Q24" s="44"/>
      <c r="R24" s="22"/>
      <c r="S24" s="51">
        <f t="shared" si="1"/>
        <v>25160</v>
      </c>
      <c r="T24" s="45">
        <f>SUM(C24:R24)-S24</f>
        <v>0</v>
      </c>
      <c r="U24" s="44"/>
    </row>
    <row r="25" spans="1:21" x14ac:dyDescent="0.2">
      <c r="A25" s="538" t="s">
        <v>1362</v>
      </c>
      <c r="B25" s="41"/>
      <c r="C25" s="170">
        <f>1.75*17*185</f>
        <v>5503.75</v>
      </c>
      <c r="D25" s="319"/>
      <c r="E25" s="319"/>
      <c r="F25" s="44"/>
      <c r="G25" s="169"/>
      <c r="H25" s="548">
        <f>5.75*17*185</f>
        <v>18083.75</v>
      </c>
      <c r="I25" s="44"/>
      <c r="J25" s="44"/>
      <c r="K25" s="44"/>
      <c r="L25" s="44"/>
      <c r="M25" s="170">
        <f>0.5*185*17</f>
        <v>1572.5</v>
      </c>
      <c r="N25" s="44"/>
      <c r="O25" s="44"/>
      <c r="P25" s="44"/>
      <c r="Q25" s="22"/>
      <c r="R25" s="44"/>
      <c r="S25" s="51">
        <f t="shared" si="1"/>
        <v>25160</v>
      </c>
      <c r="T25" s="45">
        <f t="shared" si="0"/>
        <v>0</v>
      </c>
      <c r="U25" s="44"/>
    </row>
    <row r="26" spans="1:21" x14ac:dyDescent="0.2">
      <c r="A26" s="538" t="s">
        <v>804</v>
      </c>
      <c r="B26" s="41"/>
      <c r="C26" s="319">
        <f>+S26*1.75/8</f>
        <v>109.375</v>
      </c>
      <c r="D26" s="319"/>
      <c r="E26" s="319"/>
      <c r="F26" s="44">
        <f>+S26*5.75/8</f>
        <v>359.375</v>
      </c>
      <c r="G26" s="169"/>
      <c r="H26" s="547"/>
      <c r="I26" s="44"/>
      <c r="J26" s="44"/>
      <c r="K26" s="44"/>
      <c r="L26" s="44"/>
      <c r="M26" s="319">
        <v>32</v>
      </c>
      <c r="N26" s="44"/>
      <c r="O26" s="44"/>
      <c r="P26" s="44"/>
      <c r="Q26" s="22"/>
      <c r="R26" s="44"/>
      <c r="S26" s="544">
        <v>500</v>
      </c>
      <c r="T26" s="45"/>
      <c r="U26" s="44"/>
    </row>
    <row r="27" spans="1:21" x14ac:dyDescent="0.2">
      <c r="A27" s="538" t="s">
        <v>1363</v>
      </c>
      <c r="B27" s="41"/>
      <c r="C27" s="46">
        <f>1*185*16</f>
        <v>2960</v>
      </c>
      <c r="D27" s="43"/>
      <c r="E27" s="679">
        <f>4*185*16</f>
        <v>11840</v>
      </c>
      <c r="F27" s="319"/>
      <c r="G27" s="549"/>
      <c r="H27" s="346"/>
      <c r="I27" s="44"/>
      <c r="J27" s="44"/>
      <c r="K27" s="44"/>
      <c r="L27" s="44"/>
      <c r="M27" s="546">
        <f>1*185*16</f>
        <v>2960</v>
      </c>
      <c r="N27" s="44"/>
      <c r="O27" s="44"/>
      <c r="P27" s="44"/>
      <c r="Q27" s="44"/>
      <c r="R27" s="44"/>
      <c r="S27" s="51">
        <f t="shared" ref="S27:S32" si="2">SUM(C27:R27)</f>
        <v>17760</v>
      </c>
      <c r="T27" s="45">
        <f t="shared" si="0"/>
        <v>0</v>
      </c>
      <c r="U27" s="44"/>
    </row>
    <row r="28" spans="1:21" x14ac:dyDescent="0.2">
      <c r="A28" s="538" t="s">
        <v>1364</v>
      </c>
      <c r="B28" s="41"/>
      <c r="C28" s="42"/>
      <c r="D28" s="43"/>
      <c r="E28" s="22"/>
      <c r="F28" s="319"/>
      <c r="G28" s="549"/>
      <c r="H28" s="346"/>
      <c r="I28" s="44"/>
      <c r="J28" s="44"/>
      <c r="K28" s="44"/>
      <c r="L28" s="44"/>
      <c r="M28" s="545"/>
      <c r="N28" s="44"/>
      <c r="O28" s="44"/>
      <c r="P28" s="44"/>
      <c r="Q28" s="44"/>
      <c r="R28" s="47">
        <f>6*185*18.05</f>
        <v>20035.5</v>
      </c>
      <c r="S28" s="51">
        <f t="shared" si="2"/>
        <v>20035.5</v>
      </c>
      <c r="T28" s="45"/>
      <c r="U28" s="44"/>
    </row>
    <row r="29" spans="1:21" x14ac:dyDescent="0.2">
      <c r="A29" s="538" t="s">
        <v>1365</v>
      </c>
      <c r="B29" s="41"/>
      <c r="C29" s="42"/>
      <c r="D29" s="43"/>
      <c r="E29" s="22"/>
      <c r="F29" s="319"/>
      <c r="G29" s="549"/>
      <c r="H29" s="346"/>
      <c r="I29" s="44"/>
      <c r="J29" s="44"/>
      <c r="K29" s="44"/>
      <c r="L29" s="44"/>
      <c r="M29" s="545"/>
      <c r="N29" s="44"/>
      <c r="O29" s="44"/>
      <c r="P29" s="546">
        <f>5*185*16</f>
        <v>14800</v>
      </c>
      <c r="Q29" s="47">
        <f>0.5*185*16.5</f>
        <v>1526.25</v>
      </c>
      <c r="R29" s="44"/>
      <c r="S29" s="51">
        <f t="shared" si="2"/>
        <v>16326.25</v>
      </c>
      <c r="T29" s="45"/>
      <c r="U29" s="44"/>
    </row>
    <row r="30" spans="1:21" x14ac:dyDescent="0.2">
      <c r="A30" s="543" t="s">
        <v>807</v>
      </c>
      <c r="B30" s="41"/>
      <c r="C30" s="43"/>
      <c r="D30" s="53"/>
      <c r="E30" s="44"/>
      <c r="F30" s="43"/>
      <c r="G30" s="44"/>
      <c r="H30" s="44"/>
      <c r="I30" s="44"/>
      <c r="J30" s="44"/>
      <c r="K30" s="44"/>
      <c r="L30" s="44"/>
      <c r="M30" s="44"/>
      <c r="N30" s="22"/>
      <c r="O30" s="44"/>
      <c r="P30" s="47">
        <f>8*10*17</f>
        <v>1360</v>
      </c>
      <c r="Q30" s="44"/>
      <c r="R30" s="44"/>
      <c r="S30" s="51">
        <f t="shared" si="2"/>
        <v>1360</v>
      </c>
      <c r="T30" s="45">
        <f t="shared" si="0"/>
        <v>0</v>
      </c>
      <c r="U30" s="44"/>
    </row>
    <row r="31" spans="1:21" x14ac:dyDescent="0.2">
      <c r="A31" s="543" t="s">
        <v>1366</v>
      </c>
      <c r="B31" s="41"/>
      <c r="C31" s="43"/>
      <c r="D31" s="53"/>
      <c r="E31" s="44"/>
      <c r="F31" s="43"/>
      <c r="G31" s="44"/>
      <c r="H31" s="44"/>
      <c r="I31" s="44"/>
      <c r="J31" s="44"/>
      <c r="K31" s="44"/>
      <c r="L31" s="44"/>
      <c r="M31" s="44"/>
      <c r="N31" s="22"/>
      <c r="O31" s="44"/>
      <c r="P31" s="44"/>
      <c r="Q31" s="44"/>
      <c r="R31" s="47">
        <f>6*185*18.05</f>
        <v>20035.5</v>
      </c>
      <c r="S31" s="51">
        <f t="shared" si="2"/>
        <v>20035.5</v>
      </c>
      <c r="T31" s="45"/>
      <c r="U31" s="44"/>
    </row>
    <row r="32" spans="1:21" x14ac:dyDescent="0.2">
      <c r="A32" s="543" t="s">
        <v>1367</v>
      </c>
      <c r="B32" s="41"/>
      <c r="C32" s="43"/>
      <c r="D32" s="43"/>
      <c r="E32" s="44"/>
      <c r="F32" s="43"/>
      <c r="G32" s="44"/>
      <c r="H32" s="44"/>
      <c r="I32" s="546">
        <f>7.75*185*17</f>
        <v>24373.75</v>
      </c>
      <c r="J32" s="44"/>
      <c r="K32" s="44"/>
      <c r="L32" s="44"/>
      <c r="M32" s="44"/>
      <c r="N32" s="22"/>
      <c r="O32" s="44"/>
      <c r="P32" s="44"/>
      <c r="Q32" s="44"/>
      <c r="R32" s="44"/>
      <c r="S32" s="51">
        <f t="shared" si="2"/>
        <v>24373.75</v>
      </c>
      <c r="T32" s="45">
        <f t="shared" si="0"/>
        <v>0</v>
      </c>
      <c r="U32" s="44"/>
    </row>
    <row r="33" spans="1:21" s="57" customFormat="1" x14ac:dyDescent="0.2">
      <c r="A33" s="54" t="s">
        <v>153</v>
      </c>
      <c r="B33" s="55"/>
      <c r="C33" s="56">
        <f t="shared" ref="C33:S33" si="3">SUM(C7:C32)</f>
        <v>17638.125</v>
      </c>
      <c r="D33" s="56">
        <f t="shared" si="3"/>
        <v>50320</v>
      </c>
      <c r="E33" s="56">
        <f t="shared" si="3"/>
        <v>25900</v>
      </c>
      <c r="F33" s="56">
        <f t="shared" si="3"/>
        <v>46748.125</v>
      </c>
      <c r="G33" s="56">
        <f t="shared" si="3"/>
        <v>0</v>
      </c>
      <c r="H33" s="56">
        <f t="shared" si="3"/>
        <v>18083.75</v>
      </c>
      <c r="I33" s="56">
        <f t="shared" si="3"/>
        <v>24373.75</v>
      </c>
      <c r="J33" s="56">
        <f t="shared" si="3"/>
        <v>34419.200000000004</v>
      </c>
      <c r="K33" s="56">
        <f t="shared" si="3"/>
        <v>18019.600000000002</v>
      </c>
      <c r="L33" s="56">
        <f t="shared" si="3"/>
        <v>18019.600000000002</v>
      </c>
      <c r="M33" s="56">
        <f t="shared" si="3"/>
        <v>7524.5</v>
      </c>
      <c r="N33" s="56">
        <f t="shared" si="3"/>
        <v>34440</v>
      </c>
      <c r="O33" s="56">
        <f t="shared" si="3"/>
        <v>0</v>
      </c>
      <c r="P33" s="56">
        <f t="shared" si="3"/>
        <v>40240</v>
      </c>
      <c r="Q33" s="56">
        <f t="shared" si="3"/>
        <v>74172.5</v>
      </c>
      <c r="R33" s="56">
        <f t="shared" si="3"/>
        <v>60106.5</v>
      </c>
      <c r="S33" s="56">
        <f t="shared" si="3"/>
        <v>470004.9</v>
      </c>
      <c r="U33" s="58"/>
    </row>
    <row r="34" spans="1:21" x14ac:dyDescent="0.2">
      <c r="S34" s="367"/>
    </row>
    <row r="35" spans="1:21" s="62" customFormat="1" ht="15" x14ac:dyDescent="0.2">
      <c r="A35" s="59" t="s">
        <v>154</v>
      </c>
      <c r="B35" s="60">
        <v>0.3</v>
      </c>
      <c r="C35" s="61">
        <f>+C33*$B$35</f>
        <v>5291.4375</v>
      </c>
      <c r="D35" s="61">
        <f t="shared" ref="D35:S35" si="4">+D33*$B$35</f>
        <v>15096</v>
      </c>
      <c r="E35" s="61">
        <f t="shared" si="4"/>
        <v>7770</v>
      </c>
      <c r="F35" s="61">
        <f t="shared" si="4"/>
        <v>14024.4375</v>
      </c>
      <c r="G35" s="61">
        <f t="shared" si="4"/>
        <v>0</v>
      </c>
      <c r="H35" s="61">
        <f t="shared" si="4"/>
        <v>5425.125</v>
      </c>
      <c r="I35" s="61">
        <f t="shared" si="4"/>
        <v>7312.125</v>
      </c>
      <c r="J35" s="61">
        <f t="shared" si="4"/>
        <v>10325.76</v>
      </c>
      <c r="K35" s="61">
        <f t="shared" si="4"/>
        <v>5405.88</v>
      </c>
      <c r="L35" s="61">
        <f t="shared" si="4"/>
        <v>5405.88</v>
      </c>
      <c r="M35" s="61">
        <f t="shared" si="4"/>
        <v>2257.35</v>
      </c>
      <c r="N35" s="61">
        <f t="shared" si="4"/>
        <v>10332</v>
      </c>
      <c r="O35" s="61">
        <f t="shared" si="4"/>
        <v>0</v>
      </c>
      <c r="P35" s="61">
        <f t="shared" si="4"/>
        <v>12072</v>
      </c>
      <c r="Q35" s="61">
        <f t="shared" si="4"/>
        <v>22251.75</v>
      </c>
      <c r="R35" s="61">
        <f t="shared" si="4"/>
        <v>18031.95</v>
      </c>
      <c r="S35" s="61">
        <f t="shared" si="4"/>
        <v>141001.47</v>
      </c>
      <c r="U35" s="47"/>
    </row>
    <row r="36" spans="1:21" s="52" customFormat="1" ht="15" x14ac:dyDescent="0.2"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U36" s="65"/>
    </row>
    <row r="37" spans="1:21" s="68" customFormat="1" ht="15" x14ac:dyDescent="0.2">
      <c r="A37" s="66" t="s">
        <v>155</v>
      </c>
      <c r="B37" s="67">
        <v>7.6499999999999999E-2</v>
      </c>
      <c r="C37" s="61">
        <f>+C33*$B$37</f>
        <v>1349.3165624999999</v>
      </c>
      <c r="D37" s="61">
        <f t="shared" ref="D37:S37" si="5">+D33*$B$37</f>
        <v>3849.48</v>
      </c>
      <c r="E37" s="61">
        <f t="shared" si="5"/>
        <v>1981.35</v>
      </c>
      <c r="F37" s="61">
        <f t="shared" si="5"/>
        <v>3576.2315625000001</v>
      </c>
      <c r="G37" s="61">
        <f t="shared" si="5"/>
        <v>0</v>
      </c>
      <c r="H37" s="61">
        <f t="shared" si="5"/>
        <v>1383.4068749999999</v>
      </c>
      <c r="I37" s="61">
        <f t="shared" si="5"/>
        <v>1864.5918750000001</v>
      </c>
      <c r="J37" s="61">
        <f t="shared" si="5"/>
        <v>2633.0688000000005</v>
      </c>
      <c r="K37" s="61">
        <f t="shared" si="5"/>
        <v>1378.4994000000002</v>
      </c>
      <c r="L37" s="61">
        <f t="shared" si="5"/>
        <v>1378.4994000000002</v>
      </c>
      <c r="M37" s="61">
        <f t="shared" si="5"/>
        <v>575.62424999999996</v>
      </c>
      <c r="N37" s="61">
        <f t="shared" si="5"/>
        <v>2634.66</v>
      </c>
      <c r="O37" s="61">
        <f t="shared" si="5"/>
        <v>0</v>
      </c>
      <c r="P37" s="61">
        <f t="shared" si="5"/>
        <v>3078.36</v>
      </c>
      <c r="Q37" s="61">
        <f t="shared" si="5"/>
        <v>5674.19625</v>
      </c>
      <c r="R37" s="61">
        <f t="shared" si="5"/>
        <v>4598.14725</v>
      </c>
      <c r="S37" s="61">
        <f t="shared" si="5"/>
        <v>35955.37485</v>
      </c>
      <c r="U37" s="69"/>
    </row>
    <row r="38" spans="1:21" s="68" customFormat="1" ht="15" x14ac:dyDescent="0.2">
      <c r="A38" s="555"/>
      <c r="B38" s="556"/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U38" s="69"/>
    </row>
    <row r="39" spans="1:21" s="68" customFormat="1" ht="15" x14ac:dyDescent="0.2">
      <c r="A39" s="66" t="s">
        <v>813</v>
      </c>
      <c r="B39" s="67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U39" s="69"/>
    </row>
    <row r="41" spans="1:21" x14ac:dyDescent="0.2">
      <c r="A41" s="558" t="s">
        <v>146</v>
      </c>
      <c r="S41" s="323">
        <f>SUM(S33+S35+S37+S39)</f>
        <v>646961.74485000002</v>
      </c>
    </row>
  </sheetData>
  <mergeCells count="1">
    <mergeCell ref="A2:S2"/>
  </mergeCells>
  <printOptions horizontalCentered="1" verticalCentered="1" headings="1" gridLines="1"/>
  <pageMargins left="0.17" right="0.17" top="0.17" bottom="0.17" header="0.17" footer="0.17"/>
  <pageSetup scale="5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cc1719f-0a31-43de-ba5f-2a6c1e08467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1398A5F46CD24BB552BDA031F30D57" ma:contentTypeVersion="18" ma:contentTypeDescription="Create a new document." ma:contentTypeScope="" ma:versionID="469edccf2fa57cc71fc50f4c307a7056">
  <xsd:schema xmlns:xsd="http://www.w3.org/2001/XMLSchema" xmlns:xs="http://www.w3.org/2001/XMLSchema" xmlns:p="http://schemas.microsoft.com/office/2006/metadata/properties" xmlns:ns3="9cc1719f-0a31-43de-ba5f-2a6c1e08467e" xmlns:ns4="daa5c88f-480b-4459-a9c7-8d4af604b2a1" targetNamespace="http://schemas.microsoft.com/office/2006/metadata/properties" ma:root="true" ma:fieldsID="51e9ddc3a60832fbca38668e700938be" ns3:_="" ns4:_="">
    <xsd:import namespace="9cc1719f-0a31-43de-ba5f-2a6c1e08467e"/>
    <xsd:import namespace="daa5c88f-480b-4459-a9c7-8d4af604b2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1719f-0a31-43de-ba5f-2a6c1e084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a5c88f-480b-4459-a9c7-8d4af604b2a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148077-BCCD-44E2-80AC-B25B95D797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AB1CC6-11E0-4504-99AB-815A9423720E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daa5c88f-480b-4459-a9c7-8d4af604b2a1"/>
    <ds:schemaRef ds:uri="http://schemas.openxmlformats.org/package/2006/metadata/core-properties"/>
    <ds:schemaRef ds:uri="9cc1719f-0a31-43de-ba5f-2a6c1e08467e"/>
  </ds:schemaRefs>
</ds:datastoreItem>
</file>

<file path=customXml/itemProps3.xml><?xml version="1.0" encoding="utf-8"?>
<ds:datastoreItem xmlns:ds="http://schemas.openxmlformats.org/officeDocument/2006/customXml" ds:itemID="{493E0E8E-E7EB-4A3E-BED0-3FC5A5913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c1719f-0a31-43de-ba5f-2a6c1e08467e"/>
    <ds:schemaRef ds:uri="daa5c88f-480b-4459-a9c7-8d4af604b2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Resolution-Transparency 23-24</vt:lpstr>
      <vt:lpstr>General Revenue</vt:lpstr>
      <vt:lpstr>General Expenses</vt:lpstr>
      <vt:lpstr>Food Service</vt:lpstr>
      <vt:lpstr>State Aid Projections</vt:lpstr>
      <vt:lpstr>UAAL</vt:lpstr>
      <vt:lpstr>STAFF Sal Bkdwn (2023-24)</vt:lpstr>
      <vt:lpstr>STAFF Sal Bkdwn (2022-23)</vt:lpstr>
      <vt:lpstr>SUPPORT Sal Bkdwn (2023-24)</vt:lpstr>
      <vt:lpstr>SUPPORT Sal Bkdwn 2022-23</vt:lpstr>
      <vt:lpstr>Staff MESSA-CAP 23-24</vt:lpstr>
      <vt:lpstr>Staff MESSA-CAP ($200-400)18-19</vt:lpstr>
      <vt:lpstr>Support MESSA-CAP 23-24</vt:lpstr>
      <vt:lpstr>Support MESSA 18-19 CAP</vt:lpstr>
      <vt:lpstr>Salary per Contract</vt:lpstr>
      <vt:lpstr>'Food Service'!Print_Area</vt:lpstr>
      <vt:lpstr>'General Expenses'!Print_Area</vt:lpstr>
      <vt:lpstr>'General Revenue'!Print_Area</vt:lpstr>
      <vt:lpstr>'Staff MESSA-CAP ($200-400)18-19'!Print_Area</vt:lpstr>
      <vt:lpstr>'Staff MESSA-CAP 23-24'!Print_Area</vt:lpstr>
      <vt:lpstr>'STAFF Sal Bkdwn (2022-23)'!Print_Area</vt:lpstr>
      <vt:lpstr>'STAFF Sal Bkdwn (2023-24)'!Print_Area</vt:lpstr>
      <vt:lpstr>'Support MESSA 18-19 CAP'!Print_Area</vt:lpstr>
      <vt:lpstr>'Support MESSA-CAP 23-24'!Print_Area</vt:lpstr>
      <vt:lpstr>'SUPPORT Sal Bkdwn (2023-24)'!Print_Area</vt:lpstr>
      <vt:lpstr>'SUPPORT Sal Bkdwn 2022-23'!Print_Area</vt:lpstr>
      <vt:lpstr>'Food Service'!Print_Titles</vt:lpstr>
      <vt:lpstr>'General Expenses'!Print_Titles</vt:lpstr>
      <vt:lpstr>'General Revenue'!Print_Titles</vt:lpstr>
    </vt:vector>
  </TitlesOfParts>
  <Company>MC-ISD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dhowell</dc:creator>
  <cp:lastModifiedBy>Wendy Granquist</cp:lastModifiedBy>
  <cp:lastPrinted>2024-02-21T18:51:09Z</cp:lastPrinted>
  <dcterms:created xsi:type="dcterms:W3CDTF">2006-01-25T18:52:52Z</dcterms:created>
  <dcterms:modified xsi:type="dcterms:W3CDTF">2024-03-29T14:40:51Z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0x010100BB1398A5F46CD24BB552BDA031F30D57</vt:lpwstr>
  </property>
</Properties>
</file>